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6896" windowHeight="12660" activeTab="0"/>
  </bookViews>
  <sheets>
    <sheet name="Note" sheetId="1" r:id="rId1"/>
    <sheet name="Calculator" sheetId="2" r:id="rId2"/>
    <sheet name="AnnualLoadFlyKuambit" sheetId="3" r:id="rId3"/>
    <sheet name="FlyKuambitInpu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<sst xmlns="http://schemas.openxmlformats.org/spreadsheetml/2006/main" count="157" uniqueCount="120">
  <si>
    <t>Input Parameters</t>
  </si>
  <si>
    <t>S</t>
  </si>
  <si>
    <t>bed slope</t>
  </si>
  <si>
    <t>mm</t>
  </si>
  <si>
    <r>
      <t>k</t>
    </r>
    <r>
      <rPr>
        <vertAlign val="subscript"/>
        <sz val="14"/>
        <rFont val="Arial"/>
        <family val="2"/>
      </rPr>
      <t>s</t>
    </r>
  </si>
  <si>
    <t>R</t>
  </si>
  <si>
    <t>submerged specific gravity of sediment</t>
  </si>
  <si>
    <r>
      <t>n</t>
    </r>
    <r>
      <rPr>
        <vertAlign val="subscript"/>
        <sz val="14"/>
        <rFont val="Arial"/>
        <family val="2"/>
      </rPr>
      <t>k</t>
    </r>
  </si>
  <si>
    <t>median sediment size</t>
  </si>
  <si>
    <t>size such that 90% of the sediment is finer</t>
  </si>
  <si>
    <r>
      <t>factor such that k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 xml:space="preserve"> = n</t>
    </r>
    <r>
      <rPr>
        <vertAlign val="subscript"/>
        <sz val="14"/>
        <rFont val="Arial"/>
        <family val="2"/>
      </rPr>
      <t>k</t>
    </r>
    <r>
      <rPr>
        <sz val="14"/>
        <rFont val="Arial"/>
        <family val="0"/>
      </rPr>
      <t xml:space="preserve"> D</t>
    </r>
    <r>
      <rPr>
        <vertAlign val="subscript"/>
        <sz val="14"/>
        <rFont val="Arial"/>
        <family val="2"/>
      </rPr>
      <t>s90</t>
    </r>
  </si>
  <si>
    <t>Input</t>
  </si>
  <si>
    <r>
      <t>H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 xml:space="preserve"> (m)</t>
    </r>
  </si>
  <si>
    <r>
      <t>t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>*</t>
    </r>
  </si>
  <si>
    <t>U (m/s)</t>
  </si>
  <si>
    <t>G</t>
  </si>
  <si>
    <t>H (m)</t>
  </si>
  <si>
    <r>
      <t>q</t>
    </r>
    <r>
      <rPr>
        <vertAlign val="subscript"/>
        <sz val="14"/>
        <rFont val="Arial"/>
        <family val="2"/>
      </rPr>
      <t>w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/s)</t>
    </r>
  </si>
  <si>
    <r>
      <t>t</t>
    </r>
    <r>
      <rPr>
        <sz val="14"/>
        <rFont val="Arial"/>
        <family val="0"/>
      </rPr>
      <t>*</t>
    </r>
  </si>
  <si>
    <t>Fr</t>
  </si>
  <si>
    <r>
      <t>t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>*/</t>
    </r>
    <r>
      <rPr>
        <sz val="14"/>
        <rFont val="Symbol"/>
        <family val="1"/>
      </rPr>
      <t>t</t>
    </r>
    <r>
      <rPr>
        <sz val="14"/>
        <rFont val="Arial"/>
        <family val="0"/>
      </rPr>
      <t>*</t>
    </r>
  </si>
  <si>
    <r>
      <t>u</t>
    </r>
    <r>
      <rPr>
        <vertAlign val="subscript"/>
        <sz val="14"/>
        <rFont val="Arial"/>
        <family val="2"/>
      </rPr>
      <t>*</t>
    </r>
    <r>
      <rPr>
        <sz val="14"/>
        <rFont val="Arial"/>
        <family val="0"/>
      </rPr>
      <t xml:space="preserve"> (m/s)</t>
    </r>
  </si>
  <si>
    <r>
      <t>u</t>
    </r>
    <r>
      <rPr>
        <vertAlign val="subscript"/>
        <sz val="14"/>
        <rFont val="Arial"/>
        <family val="2"/>
      </rPr>
      <t>*s</t>
    </r>
    <r>
      <rPr>
        <sz val="14"/>
        <rFont val="Arial"/>
        <family val="0"/>
      </rPr>
      <t xml:space="preserve"> (m/s)</t>
    </r>
  </si>
  <si>
    <r>
      <t>v</t>
    </r>
    <r>
      <rPr>
        <vertAlign val="subscript"/>
        <sz val="14"/>
        <rFont val="Arial"/>
        <family val="2"/>
      </rPr>
      <t>s</t>
    </r>
  </si>
  <si>
    <t>cm/s</t>
  </si>
  <si>
    <r>
      <t>fall velocity of size D</t>
    </r>
    <r>
      <rPr>
        <vertAlign val="subscript"/>
        <sz val="14"/>
        <rFont val="Arial"/>
        <family val="2"/>
      </rPr>
      <t>s50</t>
    </r>
  </si>
  <si>
    <r>
      <t>Re</t>
    </r>
    <r>
      <rPr>
        <vertAlign val="subscript"/>
        <sz val="14"/>
        <rFont val="Arial"/>
        <family val="2"/>
      </rPr>
      <t>p</t>
    </r>
  </si>
  <si>
    <t>n</t>
  </si>
  <si>
    <t>kinematic viscosity of water</t>
  </si>
  <si>
    <r>
      <t>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/s</t>
    </r>
  </si>
  <si>
    <r>
      <t>R</t>
    </r>
    <r>
      <rPr>
        <vertAlign val="subscript"/>
        <sz val="14"/>
        <rFont val="Arial"/>
        <family val="2"/>
      </rPr>
      <t>f</t>
    </r>
  </si>
  <si>
    <t>Cz</t>
  </si>
  <si>
    <t>grain roughness height</t>
  </si>
  <si>
    <r>
      <t>k</t>
    </r>
    <r>
      <rPr>
        <vertAlign val="subscript"/>
        <sz val="14"/>
        <rFont val="Arial"/>
        <family val="2"/>
      </rPr>
      <t>c</t>
    </r>
    <r>
      <rPr>
        <sz val="14"/>
        <rFont val="Arial"/>
        <family val="0"/>
      </rPr>
      <t xml:space="preserve"> (mm)</t>
    </r>
  </si>
  <si>
    <r>
      <t>Z</t>
    </r>
    <r>
      <rPr>
        <vertAlign val="subscript"/>
        <sz val="14"/>
        <rFont val="Arial"/>
        <family val="2"/>
      </rPr>
      <t>u</t>
    </r>
  </si>
  <si>
    <t>E</t>
  </si>
  <si>
    <r>
      <t>q</t>
    </r>
    <r>
      <rPr>
        <vertAlign val="subscript"/>
        <sz val="14"/>
        <rFont val="Arial"/>
        <family val="2"/>
      </rPr>
      <t>b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/s)</t>
    </r>
  </si>
  <si>
    <t>I</t>
  </si>
  <si>
    <r>
      <t>q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/s)</t>
    </r>
  </si>
  <si>
    <r>
      <t>q</t>
    </r>
    <r>
      <rPr>
        <vertAlign val="subscript"/>
        <sz val="14"/>
        <rFont val="Arial"/>
        <family val="2"/>
      </rPr>
      <t>t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/s)</t>
    </r>
  </si>
  <si>
    <r>
      <t>v</t>
    </r>
    <r>
      <rPr>
        <vertAlign val="subscript"/>
        <sz val="14"/>
        <rFont val="Arial"/>
        <family val="2"/>
      </rPr>
      <t>s</t>
    </r>
    <r>
      <rPr>
        <sz val="14"/>
        <rFont val="Arial"/>
        <family val="0"/>
      </rPr>
      <t>/(</t>
    </r>
    <r>
      <rPr>
        <sz val="14"/>
        <rFont val="Symbol"/>
        <family val="1"/>
      </rPr>
      <t>k</t>
    </r>
    <r>
      <rPr>
        <sz val="14"/>
        <rFont val="Arial"/>
        <family val="0"/>
      </rPr>
      <t>u</t>
    </r>
    <r>
      <rPr>
        <vertAlign val="subscript"/>
        <sz val="14"/>
        <rFont val="Arial"/>
        <family val="2"/>
      </rPr>
      <t>*</t>
    </r>
    <r>
      <rPr>
        <sz val="14"/>
        <rFont val="Arial"/>
        <family val="0"/>
      </rPr>
      <t>)</t>
    </r>
  </si>
  <si>
    <r>
      <t>q</t>
    </r>
    <r>
      <rPr>
        <vertAlign val="subscript"/>
        <sz val="14"/>
        <rFont val="Arial"/>
        <family val="2"/>
      </rPr>
      <t>b</t>
    </r>
    <r>
      <rPr>
        <sz val="14"/>
        <rFont val="Arial"/>
        <family val="0"/>
      </rPr>
      <t>/q</t>
    </r>
    <r>
      <rPr>
        <vertAlign val="subscript"/>
        <sz val="14"/>
        <rFont val="Arial"/>
        <family val="2"/>
      </rPr>
      <t>t</t>
    </r>
  </si>
  <si>
    <t xml:space="preserve">Uses </t>
  </si>
  <si>
    <t xml:space="preserve">a) Wright-Parker formulation for flow resistance, </t>
  </si>
  <si>
    <t>b) Ashida-Michiue formulation for bedload transport,</t>
  </si>
  <si>
    <t>Depth-Discharge and Total Load Calculator</t>
  </si>
  <si>
    <r>
      <t>D</t>
    </r>
    <r>
      <rPr>
        <vertAlign val="subscript"/>
        <sz val="14"/>
        <rFont val="Arial"/>
        <family val="2"/>
      </rPr>
      <t>50</t>
    </r>
  </si>
  <si>
    <r>
      <t>D</t>
    </r>
    <r>
      <rPr>
        <vertAlign val="subscript"/>
        <sz val="14"/>
        <rFont val="Arial"/>
        <family val="2"/>
      </rPr>
      <t>90</t>
    </r>
  </si>
  <si>
    <r>
      <t xml:space="preserve">Values of integrand for various values of </t>
    </r>
    <r>
      <rPr>
        <sz val="14"/>
        <rFont val="Symbol"/>
        <family val="1"/>
      </rPr>
      <t>z</t>
    </r>
  </si>
  <si>
    <r>
      <t xml:space="preserve">Terms in integration for </t>
    </r>
    <r>
      <rPr>
        <sz val="14"/>
        <rFont val="Symbol"/>
        <family val="1"/>
      </rPr>
      <t>I</t>
    </r>
    <r>
      <rPr>
        <sz val="14"/>
        <rFont val="Arial"/>
        <family val="0"/>
      </rPr>
      <t xml:space="preserve"> by trapezoidal rule</t>
    </r>
  </si>
  <si>
    <t>c) Wright-Parker formulation (without stratification) for suspended load.</t>
  </si>
  <si>
    <t>% Exceeded</t>
  </si>
  <si>
    <t>Flow duration curve, Kuambit, 1994</t>
  </si>
  <si>
    <t>Km us</t>
  </si>
  <si>
    <t>Elev m</t>
  </si>
  <si>
    <t>m</t>
  </si>
  <si>
    <t>D'Albertis</t>
  </si>
  <si>
    <t>Slope at D'Albertis (Kuambit)</t>
  </si>
  <si>
    <t>Bankfull depth at D'Albertis (Kuambit)</t>
  </si>
  <si>
    <t>B (m)</t>
  </si>
  <si>
    <t>above bf</t>
  </si>
  <si>
    <t>fraction bedload:</t>
  </si>
  <si>
    <r>
      <t>Q (m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/s)</t>
    </r>
  </si>
  <si>
    <r>
      <t>Q</t>
    </r>
    <r>
      <rPr>
        <vertAlign val="subscript"/>
        <sz val="14"/>
        <rFont val="Arial"/>
        <family val="2"/>
      </rPr>
      <t>median</t>
    </r>
  </si>
  <si>
    <t>From 1982 cross-section</t>
  </si>
  <si>
    <r>
      <t>B</t>
    </r>
    <r>
      <rPr>
        <vertAlign val="subscript"/>
        <sz val="14"/>
        <rFont val="Arial"/>
        <family val="2"/>
      </rPr>
      <t>bf</t>
    </r>
  </si>
  <si>
    <r>
      <t>H</t>
    </r>
    <r>
      <rPr>
        <vertAlign val="subscript"/>
        <sz val="14"/>
        <rFont val="Arial"/>
        <family val="2"/>
      </rPr>
      <t>bf</t>
    </r>
  </si>
  <si>
    <t>Bed grain size distribution statistics for Kuambit, pre-mine</t>
  </si>
  <si>
    <t>From OkSand input</t>
  </si>
  <si>
    <r>
      <t>D</t>
    </r>
    <r>
      <rPr>
        <vertAlign val="subscript"/>
        <sz val="14"/>
        <rFont val="Arial"/>
        <family val="2"/>
      </rPr>
      <t>g</t>
    </r>
  </si>
  <si>
    <r>
      <t>s</t>
    </r>
    <r>
      <rPr>
        <vertAlign val="subscript"/>
        <sz val="14"/>
        <rFont val="Arial"/>
        <family val="2"/>
      </rPr>
      <t>g</t>
    </r>
  </si>
  <si>
    <r>
      <t>Q</t>
    </r>
    <r>
      <rPr>
        <vertAlign val="subscript"/>
        <sz val="14"/>
        <rFont val="Arial"/>
        <family val="2"/>
      </rPr>
      <t>bf</t>
    </r>
  </si>
  <si>
    <r>
      <t>Estimated bankfull discharge based on q</t>
    </r>
    <r>
      <rPr>
        <vertAlign val="subscript"/>
        <sz val="14"/>
        <rFont val="Arial"/>
        <family val="2"/>
      </rPr>
      <t>w</t>
    </r>
    <r>
      <rPr>
        <sz val="14"/>
        <rFont val="Arial"/>
        <family val="0"/>
      </rPr>
      <t xml:space="preserve"> at H = 9.45 m from "Calculator" sheet:</t>
    </r>
  </si>
  <si>
    <t>Percentage of time flow is above bankfull</t>
  </si>
  <si>
    <t>Relation between H and B, Kuambit</t>
  </si>
  <si>
    <t>From "Calculator"</t>
  </si>
  <si>
    <t>Interpolated from here</t>
  </si>
  <si>
    <t>and here</t>
  </si>
  <si>
    <r>
      <t>p</t>
    </r>
    <r>
      <rPr>
        <vertAlign val="subscript"/>
        <sz val="14"/>
        <rFont val="Arial"/>
        <family val="2"/>
      </rPr>
      <t>k</t>
    </r>
  </si>
  <si>
    <t>fraction of time flow is in range characterized by Q</t>
  </si>
  <si>
    <t>The sediment transport rate at above-bankfull flow</t>
  </si>
  <si>
    <t>is assumed to be equal to the bankfull value</t>
  </si>
  <si>
    <r>
      <t>Q</t>
    </r>
    <r>
      <rPr>
        <vertAlign val="subscript"/>
        <sz val="14"/>
        <rFont val="Arial"/>
        <family val="2"/>
      </rPr>
      <t xml:space="preserve">banav </t>
    </r>
    <r>
      <rPr>
        <sz val="14"/>
        <rFont val="Arial"/>
        <family val="0"/>
      </rPr>
      <t>(Mt/yr)</t>
    </r>
  </si>
  <si>
    <r>
      <t>Q</t>
    </r>
    <r>
      <rPr>
        <vertAlign val="subscript"/>
        <sz val="14"/>
        <rFont val="Arial"/>
        <family val="2"/>
      </rPr>
      <t>banav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/s)</t>
    </r>
  </si>
  <si>
    <t>These are the input parameters for the case of the pre-mine Fly River at Kuambit near D'Albertis Junction, Papua New Guinea</t>
  </si>
  <si>
    <t>The default example, for the pre-mine</t>
  </si>
  <si>
    <t>Fly River at Kuambit near D'Albertis</t>
  </si>
  <si>
    <t>Junction, Papua New Guinea is given on</t>
  </si>
  <si>
    <t>Note: this is a live worksheet.</t>
  </si>
  <si>
    <t>the worksheet "FlyKuambitInput".</t>
  </si>
  <si>
    <t>This worksheet provides a calculation of annual bed material load specifically for the conditions of the</t>
  </si>
  <si>
    <t>pre-mine (&lt; 1985) Fly River at Kuambit (D'Albertis Junction), Papua New Guinea.</t>
  </si>
  <si>
    <t>the worksheet "Calculator" for the case of the pre-mine Fly River at Kuambit, Papua New Guinea.</t>
  </si>
  <si>
    <r>
      <t>It is live, but the values for q</t>
    </r>
    <r>
      <rPr>
        <vertAlign val="subscript"/>
        <sz val="14"/>
        <rFont val="Arial"/>
        <family val="2"/>
      </rPr>
      <t>w</t>
    </r>
    <r>
      <rPr>
        <sz val="14"/>
        <rFont val="Arial"/>
        <family val="0"/>
      </rPr>
      <t>, H. q</t>
    </r>
    <r>
      <rPr>
        <vertAlign val="subscript"/>
        <sz val="14"/>
        <rFont val="Arial"/>
        <family val="2"/>
      </rPr>
      <t>t</t>
    </r>
    <r>
      <rPr>
        <sz val="14"/>
        <rFont val="Arial"/>
        <family val="0"/>
      </rPr>
      <t xml:space="preserve"> and q</t>
    </r>
    <r>
      <rPr>
        <vertAlign val="subscript"/>
        <sz val="14"/>
        <rFont val="Arial"/>
        <family val="2"/>
      </rPr>
      <t>b</t>
    </r>
    <r>
      <rPr>
        <sz val="14"/>
        <rFont val="Arial"/>
        <family val="0"/>
      </rPr>
      <t xml:space="preserve"> are not live, and have been taken from the results of</t>
    </r>
  </si>
  <si>
    <r>
      <t>p</t>
    </r>
    <r>
      <rPr>
        <vertAlign val="subscript"/>
        <sz val="14"/>
        <rFont val="Arial"/>
        <family val="2"/>
      </rPr>
      <t>e,k</t>
    </r>
    <r>
      <rPr>
        <sz val="14"/>
        <rFont val="Arial"/>
        <family val="0"/>
      </rPr>
      <t xml:space="preserve"> = fraction of time Q</t>
    </r>
    <r>
      <rPr>
        <vertAlign val="subscript"/>
        <sz val="14"/>
        <rFont val="Arial"/>
        <family val="2"/>
      </rPr>
      <t>bound,k</t>
    </r>
    <r>
      <rPr>
        <sz val="14"/>
        <rFont val="Arial"/>
        <family val="0"/>
      </rPr>
      <t xml:space="preserve"> is exceeded</t>
    </r>
  </si>
  <si>
    <r>
      <t>p</t>
    </r>
    <r>
      <rPr>
        <vertAlign val="subscript"/>
        <sz val="14"/>
        <rFont val="Arial"/>
        <family val="2"/>
      </rPr>
      <t>k</t>
    </r>
    <r>
      <rPr>
        <sz val="14"/>
        <rFont val="Arial"/>
        <family val="0"/>
      </rPr>
      <t xml:space="preserve"> = fraction of time discharge is in the range</t>
    </r>
  </si>
  <si>
    <r>
      <t>characterized by Q</t>
    </r>
    <r>
      <rPr>
        <vertAlign val="subscript"/>
        <sz val="14"/>
        <rFont val="Arial"/>
        <family val="2"/>
      </rPr>
      <t>k</t>
    </r>
  </si>
  <si>
    <t>k</t>
  </si>
  <si>
    <r>
      <t>Q</t>
    </r>
    <r>
      <rPr>
        <vertAlign val="subscript"/>
        <sz val="14"/>
        <rFont val="Arial"/>
        <family val="2"/>
      </rPr>
      <t>k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/s)</t>
    </r>
  </si>
  <si>
    <r>
      <t>Q</t>
    </r>
    <r>
      <rPr>
        <vertAlign val="subscript"/>
        <sz val="14"/>
        <rFont val="Arial"/>
        <family val="2"/>
      </rPr>
      <t>bound,k</t>
    </r>
  </si>
  <si>
    <r>
      <t>p</t>
    </r>
    <r>
      <rPr>
        <vertAlign val="subscript"/>
        <sz val="14"/>
        <rFont val="Arial"/>
        <family val="2"/>
      </rPr>
      <t>e,k</t>
    </r>
  </si>
  <si>
    <t>Interpolate on flow-</t>
  </si>
  <si>
    <t>duration curve</t>
  </si>
  <si>
    <r>
      <t>q</t>
    </r>
    <r>
      <rPr>
        <vertAlign val="subscript"/>
        <sz val="14"/>
        <rFont val="Arial"/>
        <family val="2"/>
      </rPr>
      <t>t,k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/s)</t>
    </r>
  </si>
  <si>
    <r>
      <t>Q</t>
    </r>
    <r>
      <rPr>
        <vertAlign val="subscript"/>
        <sz val="14"/>
        <rFont val="Arial"/>
        <family val="2"/>
      </rPr>
      <t>t,k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/s)</t>
    </r>
  </si>
  <si>
    <r>
      <t>q</t>
    </r>
    <r>
      <rPr>
        <vertAlign val="subscript"/>
        <sz val="14"/>
        <rFont val="Arial"/>
        <family val="2"/>
      </rPr>
      <t>b,k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0"/>
      </rPr>
      <t>/s)</t>
    </r>
  </si>
  <si>
    <r>
      <t>Q</t>
    </r>
    <r>
      <rPr>
        <vertAlign val="subscript"/>
        <sz val="14"/>
        <rFont val="Arial"/>
        <family val="2"/>
      </rPr>
      <t>b,k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/s)</t>
    </r>
  </si>
  <si>
    <r>
      <t>Q</t>
    </r>
    <r>
      <rPr>
        <vertAlign val="subscript"/>
        <sz val="14"/>
        <rFont val="Arial"/>
        <family val="2"/>
      </rPr>
      <t>tanav</t>
    </r>
    <r>
      <rPr>
        <sz val="14"/>
        <rFont val="Arial"/>
        <family val="0"/>
      </rPr>
      <t xml:space="preserve"> (m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/s)</t>
    </r>
  </si>
  <si>
    <r>
      <t>Q</t>
    </r>
    <r>
      <rPr>
        <vertAlign val="subscript"/>
        <sz val="14"/>
        <rFont val="Arial"/>
        <family val="2"/>
      </rPr>
      <t xml:space="preserve">tanav </t>
    </r>
    <r>
      <rPr>
        <sz val="14"/>
        <rFont val="Arial"/>
        <family val="0"/>
      </rPr>
      <t>(Mt/yr)</t>
    </r>
  </si>
  <si>
    <t>average annual bed material load</t>
  </si>
  <si>
    <t>average annual bedload</t>
  </si>
  <si>
    <t>mean discharge</t>
  </si>
  <si>
    <r>
      <t>Q</t>
    </r>
    <r>
      <rPr>
        <vertAlign val="subscript"/>
        <sz val="14"/>
        <rFont val="Arial"/>
        <family val="2"/>
      </rPr>
      <t>mean</t>
    </r>
  </si>
  <si>
    <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</t>
    </r>
  </si>
  <si>
    <t>NOTE</t>
  </si>
  <si>
    <t xml:space="preserve">This workbook and software are provided for free as part of the e-book: </t>
  </si>
  <si>
    <t xml:space="preserve">1D SEDIMENT TRANSPORT MORPHODYNAMICS with applications to RIVERS AND TURBIDITY CURRENTS, </t>
  </si>
  <si>
    <t>by Gary Parker.</t>
  </si>
  <si>
    <t xml:space="preserve">Neither I nor any university in which I am in the employ accepts </t>
  </si>
  <si>
    <t>responsibility or liability for its use by third parties.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</si>
</sst>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&quot;\&quot;#,##0;&quot;\&quot;&quot;\&quot;\-#,##0"/>
    <numFmt numFmtId="179" formatCode="&quot;\&quot;#,##0;[Red]&quot;\&quot;&quot;\&quot;\-#,##0"/>
    <numFmt numFmtId="180" formatCode="&quot;\&quot;#,##0.00;&quot;\&quot;&quot;\&quot;\-#,##0.00"/>
    <numFmt numFmtId="181" formatCode="&quot;\&quot;#,##0.00;[Red]&quot;\&quot;&quot;\&quot;\-#,##0.00"/>
    <numFmt numFmtId="182" formatCode="_ &quot;\&quot;* #,##0_ ;_ &quot;\&quot;* &quot;\&quot;\-#,##0_ ;_ &quot;\&quot;* &quot;-&quot;_ ;_ @_ "/>
    <numFmt numFmtId="183" formatCode="_ * #,##0_ ;_ * &quot;\&quot;\-#,##0_ ;_ * &quot;-&quot;_ ;_ @_ "/>
    <numFmt numFmtId="184" formatCode="_ &quot;\&quot;* #,##0.00_ ;_ &quot;\&quot;* &quot;\&quot;\-#,##0.00_ ;_ &quot;\&quot;* &quot;-&quot;??_ ;_ @_ "/>
    <numFmt numFmtId="185" formatCode="_ * #,##0.00_ ;_ * &quot;\&quot;\-#,##0.00_ ;_ * &quot;-&quot;??_ ;_ @_ "/>
    <numFmt numFmtId="186" formatCode="&quot;$&quot;#,##0_);&quot;\&quot;&quot;\&quot;\(&quot;$&quot;#,##0&quot;\&quot;&quot;\&quot;\)"/>
    <numFmt numFmtId="187" formatCode="&quot;$&quot;#,##0_);[Red]&quot;\&quot;&quot;\&quot;\(&quot;$&quot;#,##0&quot;\&quot;&quot;\&quot;\)"/>
    <numFmt numFmtId="188" formatCode="&quot;$&quot;#,##0.00_);&quot;\&quot;&quot;\&quot;\(&quot;$&quot;#,##0.00&quot;\&quot;&quot;\&quot;\)"/>
    <numFmt numFmtId="189" formatCode="&quot;$&quot;#,##0.00_);[Red]&quot;\&quot;&quot;\&quot;\(&quot;$&quot;#,##0.00&quot;\&quot;&quot;\&quot;\)"/>
    <numFmt numFmtId="190" formatCode="_(&quot;$&quot;* #,##0_);_(&quot;$&quot;* &quot;\&quot;&quot;\&quot;\(#,##0&quot;\&quot;&quot;\&quot;\);_(&quot;$&quot;* &quot;-&quot;_);_(@_)"/>
    <numFmt numFmtId="191" formatCode="_(* #,##0_);_(* &quot;\&quot;&quot;\&quot;\(#,##0&quot;\&quot;&quot;\&quot;\);_(* &quot;-&quot;_);_(@_)"/>
    <numFmt numFmtId="192" formatCode="_(&quot;$&quot;* #,##0.00_);_(&quot;$&quot;* &quot;\&quot;&quot;\&quot;\(#,##0.00&quot;\&quot;&quot;\&quot;\);_(&quot;$&quot;* &quot;-&quot;??_);_(@_)"/>
    <numFmt numFmtId="193" formatCode="_(* #,##0.00_);_(* &quot;\&quot;&quot;\&quot;\(#,##0.00&quot;\&quot;&quot;\&quot;\);_(* &quot;-&quot;??_);_(@_)"/>
    <numFmt numFmtId="194" formatCode="&quot;\&quot;#,##0;&quot;\&quot;&quot;\&quot;&quot;\&quot;\-#,##0"/>
    <numFmt numFmtId="195" formatCode="&quot;\&quot;#,##0;[Red]&quot;\&quot;&quot;\&quot;&quot;\&quot;\-#,##0"/>
    <numFmt numFmtId="196" formatCode="&quot;\&quot;#,##0.00;&quot;\&quot;&quot;\&quot;&quot;\&quot;\-#,##0.00"/>
    <numFmt numFmtId="197" formatCode="&quot;\&quot;#,##0.00;[Red]&quot;\&quot;&quot;\&quot;&quot;\&quot;\-#,##0.00"/>
    <numFmt numFmtId="198" formatCode="_ &quot;\&quot;* #,##0_ ;_ &quot;\&quot;* &quot;\&quot;&quot;\&quot;\-#,##0_ ;_ &quot;\&quot;* &quot;-&quot;_ ;_ @_ "/>
    <numFmt numFmtId="199" formatCode="_ * #,##0_ ;_ * &quot;\&quot;&quot;\&quot;\-#,##0_ ;_ * &quot;-&quot;_ ;_ @_ "/>
    <numFmt numFmtId="200" formatCode="_ &quot;\&quot;* #,##0.00_ ;_ &quot;\&quot;* &quot;\&quot;&quot;\&quot;\-#,##0.00_ ;_ &quot;\&quot;* &quot;-&quot;??_ ;_ @_ "/>
    <numFmt numFmtId="201" formatCode="_ * #,##0.00_ ;_ * &quot;\&quot;&quot;\&quot;\-#,##0.00_ ;_ * &quot;-&quot;??_ ;_ @_ "/>
    <numFmt numFmtId="202" formatCode="&quot;$&quot;#,##0_);&quot;\&quot;&quot;\&quot;&quot;\&quot;\(&quot;$&quot;#,##0&quot;\&quot;&quot;\&quot;&quot;\&quot;\)"/>
    <numFmt numFmtId="203" formatCode="&quot;$&quot;#,##0_);[Red]&quot;\&quot;&quot;\&quot;&quot;\&quot;\(&quot;$&quot;#,##0&quot;\&quot;&quot;\&quot;&quot;\&quot;\)"/>
    <numFmt numFmtId="204" formatCode="&quot;$&quot;#,##0.00_);&quot;\&quot;&quot;\&quot;&quot;\&quot;\(&quot;$&quot;#,##0.00&quot;\&quot;&quot;\&quot;&quot;\&quot;\)"/>
    <numFmt numFmtId="205" formatCode="&quot;$&quot;#,##0.00_);[Red]&quot;\&quot;&quot;\&quot;&quot;\&quot;\(&quot;$&quot;#,##0.00&quot;\&quot;&quot;\&quot;&quot;\&quot;\)"/>
    <numFmt numFmtId="206" formatCode="_(&quot;$&quot;* #,##0_);_(&quot;$&quot;* &quot;\&quot;&quot;\&quot;&quot;\&quot;\(#,##0&quot;\&quot;&quot;\&quot;&quot;\&quot;\);_(&quot;$&quot;* &quot;-&quot;_);_(@_)"/>
    <numFmt numFmtId="207" formatCode="_(* #,##0_);_(* &quot;\&quot;&quot;\&quot;&quot;\&quot;\(#,##0&quot;\&quot;&quot;\&quot;&quot;\&quot;\);_(* &quot;-&quot;_);_(@_)"/>
    <numFmt numFmtId="208" formatCode="_(&quot;$&quot;* #,##0.00_);_(&quot;$&quot;* &quot;\&quot;&quot;\&quot;&quot;\&quot;\(#,##0.00&quot;\&quot;&quot;\&quot;&quot;\&quot;\);_(&quot;$&quot;* &quot;-&quot;??_);_(@_)"/>
    <numFmt numFmtId="209" formatCode="_(* #,##0.00_);_(* &quot;\&quot;&quot;\&quot;&quot;\&quot;\(#,##0.00&quot;\&quot;&quot;\&quot;&quot;\&quot;\);_(* &quot;-&quot;??_);_(@_)"/>
    <numFmt numFmtId="210" formatCode="#,##0.000000"/>
  </numFmts>
  <fonts count="10">
    <font>
      <sz val="10"/>
      <name val="Arial"/>
      <family val="0"/>
    </font>
    <font>
      <sz val="14"/>
      <name val="Arial"/>
      <family val="0"/>
    </font>
    <font>
      <i/>
      <sz val="14"/>
      <name val="Arial"/>
      <family val="2"/>
    </font>
    <font>
      <vertAlign val="subscript"/>
      <sz val="14"/>
      <name val="Arial"/>
      <family val="2"/>
    </font>
    <font>
      <sz val="14"/>
      <name val="Symbol"/>
      <family val="1"/>
    </font>
    <font>
      <vertAlign val="superscript"/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6"/>
      <name val="Arial"/>
      <family val="2"/>
    </font>
    <font>
      <vertAlign val="sub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1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9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5.wmf" /><Relationship Id="rId2" Type="http://schemas.openxmlformats.org/officeDocument/2006/relationships/image" Target="../media/image22.wmf" /><Relationship Id="rId3" Type="http://schemas.openxmlformats.org/officeDocument/2006/relationships/image" Target="../media/image23.wmf" /><Relationship Id="rId4" Type="http://schemas.openxmlformats.org/officeDocument/2006/relationships/image" Target="../media/image27.wmf" /><Relationship Id="rId5" Type="http://schemas.openxmlformats.org/officeDocument/2006/relationships/image" Target="../media/image28.wmf" /><Relationship Id="rId6" Type="http://schemas.openxmlformats.org/officeDocument/2006/relationships/image" Target="../media/image29.wmf" /><Relationship Id="rId7" Type="http://schemas.openxmlformats.org/officeDocument/2006/relationships/image" Target="../media/image3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20</xdr:row>
      <xdr:rowOff>104775</xdr:rowOff>
    </xdr:from>
    <xdr:to>
      <xdr:col>45</xdr:col>
      <xdr:colOff>419100</xdr:colOff>
      <xdr:row>20</xdr:row>
      <xdr:rowOff>123825</xdr:rowOff>
    </xdr:to>
    <xdr:sp>
      <xdr:nvSpPr>
        <xdr:cNvPr id="1" name="Line 26"/>
        <xdr:cNvSpPr>
          <a:spLocks/>
        </xdr:cNvSpPr>
      </xdr:nvSpPr>
      <xdr:spPr>
        <a:xfrm flipV="1">
          <a:off x="21012150" y="4505325"/>
          <a:ext cx="11201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581025</xdr:colOff>
      <xdr:row>21</xdr:row>
      <xdr:rowOff>142875</xdr:rowOff>
    </xdr:from>
    <xdr:to>
      <xdr:col>68</xdr:col>
      <xdr:colOff>247650</xdr:colOff>
      <xdr:row>21</xdr:row>
      <xdr:rowOff>142875</xdr:rowOff>
    </xdr:to>
    <xdr:sp>
      <xdr:nvSpPr>
        <xdr:cNvPr id="2" name="Line 27"/>
        <xdr:cNvSpPr>
          <a:spLocks/>
        </xdr:cNvSpPr>
      </xdr:nvSpPr>
      <xdr:spPr>
        <a:xfrm>
          <a:off x="36185475" y="4772025"/>
          <a:ext cx="1002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37</xdr:row>
      <xdr:rowOff>76200</xdr:rowOff>
    </xdr:from>
    <xdr:to>
      <xdr:col>5</xdr:col>
      <xdr:colOff>295275</xdr:colOff>
      <xdr:row>40</xdr:row>
      <xdr:rowOff>0</xdr:rowOff>
    </xdr:to>
    <xdr:sp>
      <xdr:nvSpPr>
        <xdr:cNvPr id="3" name="Line 35"/>
        <xdr:cNvSpPr>
          <a:spLocks/>
        </xdr:cNvSpPr>
      </xdr:nvSpPr>
      <xdr:spPr>
        <a:xfrm flipV="1">
          <a:off x="3571875" y="8258175"/>
          <a:ext cx="428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37</xdr:row>
      <xdr:rowOff>57150</xdr:rowOff>
    </xdr:from>
    <xdr:to>
      <xdr:col>4</xdr:col>
      <xdr:colOff>352425</xdr:colOff>
      <xdr:row>39</xdr:row>
      <xdr:rowOff>200025</xdr:rowOff>
    </xdr:to>
    <xdr:sp>
      <xdr:nvSpPr>
        <xdr:cNvPr id="4" name="Line 36"/>
        <xdr:cNvSpPr>
          <a:spLocks/>
        </xdr:cNvSpPr>
      </xdr:nvSpPr>
      <xdr:spPr>
        <a:xfrm flipH="1" flipV="1">
          <a:off x="1552575" y="8239125"/>
          <a:ext cx="18954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40</xdr:row>
      <xdr:rowOff>38100</xdr:rowOff>
    </xdr:from>
    <xdr:to>
      <xdr:col>6</xdr:col>
      <xdr:colOff>762000</xdr:colOff>
      <xdr:row>50</xdr:row>
      <xdr:rowOff>9525</xdr:rowOff>
    </xdr:to>
    <xdr:sp>
      <xdr:nvSpPr>
        <xdr:cNvPr id="5" name="TextBox 37"/>
        <xdr:cNvSpPr txBox="1">
          <a:spLocks noChangeArrowheads="1"/>
        </xdr:cNvSpPr>
      </xdr:nvSpPr>
      <xdr:spPr>
        <a:xfrm>
          <a:off x="2066925" y="8877300"/>
          <a:ext cx="30099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In the case of the Fly River near Kuambit, the calculation ended here because bankfull depth is 9.45 m (iterated on H</a:t>
          </a:r>
          <a:r>
            <a:rPr lang="en-US" cap="none" sz="1600" b="0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to get the right value of H).   This upper limit on H</a:t>
          </a:r>
          <a:r>
            <a:rPr lang="en-US" cap="none" sz="1600" b="0" i="0" u="none" baseline="-25000">
              <a:latin typeface="Arial"/>
              <a:ea typeface="Arial"/>
              <a:cs typeface="Arial"/>
            </a:rPr>
            <a:t>s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(as well as the lower limit) must be changed appropriately for other streams.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30</xdr:row>
      <xdr:rowOff>57150</xdr:rowOff>
    </xdr:from>
    <xdr:to>
      <xdr:col>6</xdr:col>
      <xdr:colOff>76200</xdr:colOff>
      <xdr:row>31</xdr:row>
      <xdr:rowOff>9525</xdr:rowOff>
    </xdr:to>
    <xdr:sp>
      <xdr:nvSpPr>
        <xdr:cNvPr id="1" name="Line 2"/>
        <xdr:cNvSpPr>
          <a:spLocks/>
        </xdr:cNvSpPr>
      </xdr:nvSpPr>
      <xdr:spPr>
        <a:xfrm>
          <a:off x="3695700" y="6877050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29</xdr:row>
      <xdr:rowOff>209550</xdr:rowOff>
    </xdr:from>
    <xdr:to>
      <xdr:col>7</xdr:col>
      <xdr:colOff>104775</xdr:colOff>
      <xdr:row>30</xdr:row>
      <xdr:rowOff>209550</xdr:rowOff>
    </xdr:to>
    <xdr:sp>
      <xdr:nvSpPr>
        <xdr:cNvPr id="2" name="Line 3"/>
        <xdr:cNvSpPr>
          <a:spLocks/>
        </xdr:cNvSpPr>
      </xdr:nvSpPr>
      <xdr:spPr>
        <a:xfrm>
          <a:off x="3867150" y="6810375"/>
          <a:ext cx="962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26</xdr:row>
      <xdr:rowOff>57150</xdr:rowOff>
    </xdr:from>
    <xdr:to>
      <xdr:col>8</xdr:col>
      <xdr:colOff>409575</xdr:colOff>
      <xdr:row>30</xdr:row>
      <xdr:rowOff>180975</xdr:rowOff>
    </xdr:to>
    <xdr:sp>
      <xdr:nvSpPr>
        <xdr:cNvPr id="3" name="AutoShape 5"/>
        <xdr:cNvSpPr>
          <a:spLocks/>
        </xdr:cNvSpPr>
      </xdr:nvSpPr>
      <xdr:spPr>
        <a:xfrm>
          <a:off x="4552950" y="5953125"/>
          <a:ext cx="1381125" cy="1047750"/>
        </a:xfrm>
        <a:custGeom>
          <a:pathLst>
            <a:path h="114" w="145">
              <a:moveTo>
                <a:pt x="0" y="23"/>
              </a:moveTo>
              <a:cubicBezTo>
                <a:pt x="5" y="14"/>
                <a:pt x="11" y="6"/>
                <a:pt x="24" y="3"/>
              </a:cubicBezTo>
              <a:cubicBezTo>
                <a:pt x="37" y="0"/>
                <a:pt x="59" y="2"/>
                <a:pt x="77" y="3"/>
              </a:cubicBezTo>
              <a:cubicBezTo>
                <a:pt x="95" y="4"/>
                <a:pt x="123" y="0"/>
                <a:pt x="134" y="12"/>
              </a:cubicBezTo>
              <a:cubicBezTo>
                <a:pt x="145" y="24"/>
                <a:pt x="144" y="55"/>
                <a:pt x="144" y="72"/>
              </a:cubicBezTo>
              <a:cubicBezTo>
                <a:pt x="144" y="89"/>
                <a:pt x="136" y="107"/>
                <a:pt x="134" y="1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26</xdr:row>
      <xdr:rowOff>57150</xdr:rowOff>
    </xdr:from>
    <xdr:to>
      <xdr:col>7</xdr:col>
      <xdr:colOff>542925</xdr:colOff>
      <xdr:row>29</xdr:row>
      <xdr:rowOff>171450</xdr:rowOff>
    </xdr:to>
    <xdr:sp>
      <xdr:nvSpPr>
        <xdr:cNvPr id="4" name="AutoShape 6"/>
        <xdr:cNvSpPr>
          <a:spLocks/>
        </xdr:cNvSpPr>
      </xdr:nvSpPr>
      <xdr:spPr>
        <a:xfrm>
          <a:off x="3381375" y="5953125"/>
          <a:ext cx="1885950" cy="819150"/>
        </a:xfrm>
        <a:custGeom>
          <a:pathLst>
            <a:path h="89" w="198">
              <a:moveTo>
                <a:pt x="198" y="70"/>
              </a:moveTo>
              <a:cubicBezTo>
                <a:pt x="188" y="77"/>
                <a:pt x="178" y="85"/>
                <a:pt x="165" y="87"/>
              </a:cubicBezTo>
              <a:cubicBezTo>
                <a:pt x="152" y="89"/>
                <a:pt x="138" y="85"/>
                <a:pt x="120" y="80"/>
              </a:cubicBezTo>
              <a:cubicBezTo>
                <a:pt x="102" y="75"/>
                <a:pt x="75" y="70"/>
                <a:pt x="56" y="59"/>
              </a:cubicBezTo>
              <a:cubicBezTo>
                <a:pt x="37" y="48"/>
                <a:pt x="18" y="26"/>
                <a:pt x="9" y="16"/>
              </a:cubicBezTo>
              <a:cubicBezTo>
                <a:pt x="0" y="6"/>
                <a:pt x="4" y="3"/>
                <a:pt x="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30</xdr:row>
      <xdr:rowOff>9525</xdr:rowOff>
    </xdr:from>
    <xdr:to>
      <xdr:col>11</xdr:col>
      <xdr:colOff>361950</xdr:colOff>
      <xdr:row>31</xdr:row>
      <xdr:rowOff>38100</xdr:rowOff>
    </xdr:to>
    <xdr:sp>
      <xdr:nvSpPr>
        <xdr:cNvPr id="5" name="Line 7"/>
        <xdr:cNvSpPr>
          <a:spLocks/>
        </xdr:cNvSpPr>
      </xdr:nvSpPr>
      <xdr:spPr>
        <a:xfrm flipH="1">
          <a:off x="7981950" y="6829425"/>
          <a:ext cx="1714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571500</xdr:colOff>
      <xdr:row>30</xdr:row>
      <xdr:rowOff>190500</xdr:rowOff>
    </xdr:from>
    <xdr:to>
      <xdr:col>15</xdr:col>
      <xdr:colOff>85725</xdr:colOff>
      <xdr:row>31</xdr:row>
      <xdr:rowOff>66675</xdr:rowOff>
    </xdr:to>
    <xdr:sp>
      <xdr:nvSpPr>
        <xdr:cNvPr id="6" name="Line 8"/>
        <xdr:cNvSpPr>
          <a:spLocks/>
        </xdr:cNvSpPr>
      </xdr:nvSpPr>
      <xdr:spPr>
        <a:xfrm>
          <a:off x="10534650" y="7010400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49</xdr:row>
      <xdr:rowOff>133350</xdr:rowOff>
    </xdr:from>
    <xdr:to>
      <xdr:col>16</xdr:col>
      <xdr:colOff>57150</xdr:colOff>
      <xdr:row>53</xdr:row>
      <xdr:rowOff>57150</xdr:rowOff>
    </xdr:to>
    <xdr:sp>
      <xdr:nvSpPr>
        <xdr:cNvPr id="7" name="Line 9"/>
        <xdr:cNvSpPr>
          <a:spLocks/>
        </xdr:cNvSpPr>
      </xdr:nvSpPr>
      <xdr:spPr>
        <a:xfrm flipV="1">
          <a:off x="9229725" y="11163300"/>
          <a:ext cx="2247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1133475</xdr:colOff>
      <xdr:row>30</xdr:row>
      <xdr:rowOff>200025</xdr:rowOff>
    </xdr:from>
    <xdr:to>
      <xdr:col>18</xdr:col>
      <xdr:colOff>85725</xdr:colOff>
      <xdr:row>31</xdr:row>
      <xdr:rowOff>66675</xdr:rowOff>
    </xdr:to>
    <xdr:sp>
      <xdr:nvSpPr>
        <xdr:cNvPr id="8" name="Line 10"/>
        <xdr:cNvSpPr>
          <a:spLocks/>
        </xdr:cNvSpPr>
      </xdr:nvSpPr>
      <xdr:spPr>
        <a:xfrm>
          <a:off x="13830300" y="701992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49</xdr:row>
      <xdr:rowOff>209550</xdr:rowOff>
    </xdr:from>
    <xdr:to>
      <xdr:col>18</xdr:col>
      <xdr:colOff>819150</xdr:colOff>
      <xdr:row>53</xdr:row>
      <xdr:rowOff>66675</xdr:rowOff>
    </xdr:to>
    <xdr:sp>
      <xdr:nvSpPr>
        <xdr:cNvPr id="9" name="Line 12"/>
        <xdr:cNvSpPr>
          <a:spLocks/>
        </xdr:cNvSpPr>
      </xdr:nvSpPr>
      <xdr:spPr>
        <a:xfrm flipV="1">
          <a:off x="9563100" y="11239500"/>
          <a:ext cx="50863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35</xdr:row>
      <xdr:rowOff>28575</xdr:rowOff>
    </xdr:from>
    <xdr:to>
      <xdr:col>13</xdr:col>
      <xdr:colOff>285750</xdr:colOff>
      <xdr:row>36</xdr:row>
      <xdr:rowOff>180975</xdr:rowOff>
    </xdr:to>
    <xdr:sp>
      <xdr:nvSpPr>
        <xdr:cNvPr id="10" name="Line 16"/>
        <xdr:cNvSpPr>
          <a:spLocks/>
        </xdr:cNvSpPr>
      </xdr:nvSpPr>
      <xdr:spPr>
        <a:xfrm>
          <a:off x="9344025" y="7991475"/>
          <a:ext cx="180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parker\My%20Documents\Docs\Excel\TIT%20Fan%20Excel%20Files\RTe-bookExcelFiles\RTe-bookFall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Fall V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vmlDrawing" Target="../drawings/vmlDrawing1.vm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>
    <row r="2" ht="17.25">
      <c r="B2" s="1" t="s">
        <v>114</v>
      </c>
    </row>
    <row r="3" ht="17.25">
      <c r="B3" s="3" t="s">
        <v>115</v>
      </c>
    </row>
    <row r="4" ht="17.25">
      <c r="B4" s="1" t="s">
        <v>116</v>
      </c>
    </row>
    <row r="5" ht="17.25">
      <c r="B5" s="1" t="s">
        <v>117</v>
      </c>
    </row>
    <row r="7" ht="17.25">
      <c r="B7" s="1" t="s">
        <v>118</v>
      </c>
    </row>
    <row r="8" ht="17.25">
      <c r="B8" s="1" t="s">
        <v>119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R41"/>
  <sheetViews>
    <sheetView workbookViewId="0" topLeftCell="A1">
      <selection activeCell="R23" sqref="R23"/>
    </sheetView>
  </sheetViews>
  <sheetFormatPr defaultColWidth="9.140625" defaultRowHeight="12.75"/>
  <cols>
    <col min="1" max="2" width="9.140625" style="1" customWidth="1"/>
    <col min="3" max="3" width="13.421875" style="1" customWidth="1"/>
    <col min="4" max="4" width="14.7109375" style="1" customWidth="1"/>
    <col min="5" max="6" width="9.140625" style="1" customWidth="1"/>
    <col min="7" max="7" width="11.57421875" style="1" customWidth="1"/>
    <col min="8" max="8" width="12.7109375" style="1" bestFit="1" customWidth="1"/>
    <col min="9" max="10" width="9.140625" style="1" customWidth="1"/>
    <col min="11" max="11" width="10.7109375" style="1" customWidth="1"/>
    <col min="12" max="12" width="11.140625" style="1" customWidth="1"/>
    <col min="13" max="13" width="19.140625" style="1" bestFit="1" customWidth="1"/>
    <col min="14" max="14" width="16.140625" style="1" customWidth="1"/>
    <col min="15" max="15" width="14.57421875" style="1" customWidth="1"/>
    <col min="16" max="16" width="13.8515625" style="1" customWidth="1"/>
    <col min="17" max="17" width="12.28125" style="1" customWidth="1"/>
    <col min="18" max="18" width="9.140625" style="1" customWidth="1"/>
    <col min="19" max="19" width="12.8515625" style="1" customWidth="1"/>
    <col min="20" max="20" width="12.7109375" style="1" customWidth="1"/>
    <col min="21" max="21" width="13.00390625" style="1" customWidth="1"/>
    <col min="22" max="22" width="9.8515625" style="1" customWidth="1"/>
    <col min="23" max="23" width="11.28125" style="1" customWidth="1"/>
    <col min="24" max="25" width="9.140625" style="1" customWidth="1"/>
    <col min="26" max="26" width="10.8515625" style="1" customWidth="1"/>
    <col min="27" max="45" width="9.140625" style="1" customWidth="1"/>
    <col min="46" max="46" width="11.421875" style="1" customWidth="1"/>
    <col min="47" max="16384" width="9.140625" style="1" customWidth="1"/>
  </cols>
  <sheetData>
    <row r="2" spans="2:8" ht="17.25">
      <c r="B2" s="1" t="s">
        <v>45</v>
      </c>
      <c r="G2" s="1" t="s">
        <v>42</v>
      </c>
      <c r="H2" s="1" t="s">
        <v>43</v>
      </c>
    </row>
    <row r="3" ht="17.25">
      <c r="H3" s="1" t="s">
        <v>44</v>
      </c>
    </row>
    <row r="4" ht="17.25">
      <c r="H4" s="1" t="s">
        <v>50</v>
      </c>
    </row>
    <row r="5" spans="3:6" ht="18">
      <c r="C5" s="2" t="s">
        <v>0</v>
      </c>
      <c r="D5" s="3"/>
      <c r="E5"/>
      <c r="F5"/>
    </row>
    <row r="6" spans="3:6" ht="17.25">
      <c r="C6" s="1" t="s">
        <v>1</v>
      </c>
      <c r="D6" s="4">
        <v>5.14E-05</v>
      </c>
      <c r="F6" s="1" t="s">
        <v>2</v>
      </c>
    </row>
    <row r="7" spans="3:12" ht="19.5">
      <c r="C7" s="1" t="s">
        <v>46</v>
      </c>
      <c r="D7" s="5">
        <v>0.211</v>
      </c>
      <c r="E7" s="1" t="s">
        <v>3</v>
      </c>
      <c r="F7" s="1" t="s">
        <v>8</v>
      </c>
      <c r="L7" s="1" t="s">
        <v>88</v>
      </c>
    </row>
    <row r="8" spans="3:12" ht="19.5">
      <c r="C8" s="1" t="s">
        <v>47</v>
      </c>
      <c r="D8" s="5">
        <v>0.425</v>
      </c>
      <c r="E8" s="1" t="s">
        <v>3</v>
      </c>
      <c r="F8" s="1" t="s">
        <v>9</v>
      </c>
      <c r="L8" s="1" t="s">
        <v>85</v>
      </c>
    </row>
    <row r="9" spans="3:12" ht="19.5">
      <c r="C9" s="1" t="s">
        <v>7</v>
      </c>
      <c r="D9" s="5">
        <v>3</v>
      </c>
      <c r="E9"/>
      <c r="F9" s="1" t="s">
        <v>10</v>
      </c>
      <c r="L9" s="1" t="s">
        <v>86</v>
      </c>
    </row>
    <row r="10" spans="3:12" ht="17.25">
      <c r="C10" s="6" t="s">
        <v>5</v>
      </c>
      <c r="D10" s="5">
        <v>1.65</v>
      </c>
      <c r="F10" s="1" t="s">
        <v>6</v>
      </c>
      <c r="L10" s="1" t="s">
        <v>87</v>
      </c>
    </row>
    <row r="11" spans="3:12" ht="19.5">
      <c r="C11" s="10" t="s">
        <v>27</v>
      </c>
      <c r="D11" s="4">
        <v>1E-06</v>
      </c>
      <c r="E11" s="1" t="s">
        <v>29</v>
      </c>
      <c r="F11" s="1" t="s">
        <v>28</v>
      </c>
      <c r="L11" s="1" t="s">
        <v>89</v>
      </c>
    </row>
    <row r="12" spans="3:6" ht="19.5">
      <c r="C12" s="12" t="s">
        <v>4</v>
      </c>
      <c r="D12" s="1">
        <f>D9*D8</f>
        <v>1.275</v>
      </c>
      <c r="E12" s="1" t="s">
        <v>3</v>
      </c>
      <c r="F12" s="1" t="s">
        <v>32</v>
      </c>
    </row>
    <row r="13" ht="17.25">
      <c r="C13" s="6"/>
    </row>
    <row r="14" spans="3:4" ht="19.5">
      <c r="C14" s="9" t="s">
        <v>26</v>
      </c>
      <c r="D14" s="1">
        <f>SQRT(981*D10*(D7/10))*(D7/10)/(10000*D11)</f>
        <v>12.331052839538884</v>
      </c>
    </row>
    <row r="15" spans="3:15" ht="19.5">
      <c r="C15" s="9" t="s">
        <v>30</v>
      </c>
      <c r="D15" s="1">
        <f>EXP(-2.891394+0.95296*LN(D14)-0.056835*(LN(D14))^2-0.002892*(LN(D14))^3+0.000245*(LN(D14))^4)</f>
        <v>0.40975099711226926</v>
      </c>
      <c r="M15" s="11"/>
      <c r="N15" s="11"/>
      <c r="O15" s="11"/>
    </row>
    <row r="16" spans="3:6" ht="19.5">
      <c r="C16" s="1" t="s">
        <v>23</v>
      </c>
      <c r="D16" s="1">
        <f>SQRT(981*D10*(D7/10))*D15</f>
        <v>2.3946261594526717</v>
      </c>
      <c r="E16" s="1" t="s">
        <v>24</v>
      </c>
      <c r="F16" s="1" t="s">
        <v>25</v>
      </c>
    </row>
    <row r="21" spans="2:23" ht="18">
      <c r="B21" s="2" t="s">
        <v>11</v>
      </c>
      <c r="W21" s="1" t="s">
        <v>48</v>
      </c>
    </row>
    <row r="22" spans="2:70" ht="21">
      <c r="B22" s="1" t="s">
        <v>12</v>
      </c>
      <c r="C22" s="7" t="s">
        <v>13</v>
      </c>
      <c r="D22" s="1" t="s">
        <v>14</v>
      </c>
      <c r="E22" s="7" t="s">
        <v>15</v>
      </c>
      <c r="F22" s="1" t="s">
        <v>16</v>
      </c>
      <c r="G22" s="1" t="s">
        <v>17</v>
      </c>
      <c r="H22" s="7" t="s">
        <v>18</v>
      </c>
      <c r="I22" s="7" t="s">
        <v>20</v>
      </c>
      <c r="J22" s="8" t="s">
        <v>19</v>
      </c>
      <c r="K22" s="1" t="s">
        <v>21</v>
      </c>
      <c r="L22" s="1" t="s">
        <v>22</v>
      </c>
      <c r="M22" s="1" t="s">
        <v>36</v>
      </c>
      <c r="N22" s="1" t="s">
        <v>31</v>
      </c>
      <c r="O22" s="1" t="s">
        <v>33</v>
      </c>
      <c r="P22" s="1" t="s">
        <v>34</v>
      </c>
      <c r="Q22" s="1" t="s">
        <v>35</v>
      </c>
      <c r="R22" s="7" t="s">
        <v>37</v>
      </c>
      <c r="S22" s="1" t="s">
        <v>38</v>
      </c>
      <c r="T22" s="1" t="s">
        <v>39</v>
      </c>
      <c r="U22" s="1" t="s">
        <v>41</v>
      </c>
      <c r="V22" s="1" t="s">
        <v>40</v>
      </c>
      <c r="W22" s="1">
        <v>0.05</v>
      </c>
      <c r="X22" s="1">
        <f>W22+0.05</f>
        <v>0.1</v>
      </c>
      <c r="Y22" s="1">
        <f aca="true" t="shared" si="0" ref="Y22:AN22">X22+0.05</f>
        <v>0.15000000000000002</v>
      </c>
      <c r="Z22" s="1">
        <f t="shared" si="0"/>
        <v>0.2</v>
      </c>
      <c r="AA22" s="1">
        <f t="shared" si="0"/>
        <v>0.25</v>
      </c>
      <c r="AB22" s="1">
        <f t="shared" si="0"/>
        <v>0.3</v>
      </c>
      <c r="AC22" s="1">
        <f t="shared" si="0"/>
        <v>0.35</v>
      </c>
      <c r="AD22" s="1">
        <f t="shared" si="0"/>
        <v>0.39999999999999997</v>
      </c>
      <c r="AE22" s="1">
        <f t="shared" si="0"/>
        <v>0.44999999999999996</v>
      </c>
      <c r="AF22" s="1">
        <f t="shared" si="0"/>
        <v>0.49999999999999994</v>
      </c>
      <c r="AG22" s="1">
        <f t="shared" si="0"/>
        <v>0.5499999999999999</v>
      </c>
      <c r="AH22" s="1">
        <f>AG22+0.05</f>
        <v>0.6</v>
      </c>
      <c r="AI22" s="1">
        <f t="shared" si="0"/>
        <v>0.65</v>
      </c>
      <c r="AJ22" s="1">
        <f t="shared" si="0"/>
        <v>0.7000000000000001</v>
      </c>
      <c r="AK22" s="1">
        <f t="shared" si="0"/>
        <v>0.7500000000000001</v>
      </c>
      <c r="AL22" s="1">
        <f t="shared" si="0"/>
        <v>0.8000000000000002</v>
      </c>
      <c r="AM22" s="1">
        <f>AL22+0.05</f>
        <v>0.8500000000000002</v>
      </c>
      <c r="AN22" s="1">
        <f t="shared" si="0"/>
        <v>0.9000000000000002</v>
      </c>
      <c r="AO22" s="1">
        <f>AN22+0.05</f>
        <v>0.9500000000000003</v>
      </c>
      <c r="AP22" s="1">
        <v>0.96</v>
      </c>
      <c r="AQ22" s="1">
        <v>0.97</v>
      </c>
      <c r="AR22" s="1">
        <v>0.98</v>
      </c>
      <c r="AS22" s="1">
        <v>0.99</v>
      </c>
      <c r="AT22" s="1">
        <v>0.9999</v>
      </c>
      <c r="AU22" s="1" t="s">
        <v>49</v>
      </c>
      <c r="BR22" s="7" t="s">
        <v>37</v>
      </c>
    </row>
    <row r="23" spans="2:70" ht="17.25">
      <c r="B23" s="16">
        <v>0.6</v>
      </c>
      <c r="C23" s="1">
        <f>B23*$D$6/$D$10/($D$7/1000)</f>
        <v>0.08858250753985353</v>
      </c>
      <c r="D23" s="1">
        <f>8.32*SQRT(9.81*B23*$D$6)*(B23/($D$9*$D$8/1000))^(1/6)</f>
        <v>0.40360374956534006</v>
      </c>
      <c r="E23" s="1">
        <f>((C23-0.05)/0.7)^(5/4)</f>
        <v>0.026706410005253305</v>
      </c>
      <c r="F23" s="1">
        <f>(E23*$D$10*($D$7/1000)/$D$6*(SQRT(9.81)/D23)^(0.7))^(20/13)</f>
        <v>0.6544838576370529</v>
      </c>
      <c r="G23" s="1">
        <f>D23*F23</f>
        <v>0.2641521389723028</v>
      </c>
      <c r="H23" s="1">
        <f>F23*$D$6/$D$10/($D$7/1000)</f>
        <v>0.09662636875641108</v>
      </c>
      <c r="I23" s="1">
        <f>C23/H23</f>
        <v>0.9167529389742917</v>
      </c>
      <c r="J23" s="1">
        <f>D23/SQRT(9.81*F23)</f>
        <v>0.15928365726825244</v>
      </c>
      <c r="K23" s="1">
        <f>SQRT(9.81*F23*$D$6)</f>
        <v>0.0181662603050755</v>
      </c>
      <c r="L23" s="1">
        <f>SQRT(9.81*B23*$D$6)</f>
        <v>0.017393688510491386</v>
      </c>
      <c r="M23" s="1">
        <f>SQRT($D$10*9.81*($D$7/1000))*($D$7/1000)*17*(C23-0.05)*(SQRT(C23)-SQRT(0.05))</f>
        <v>5.986823633146589E-07</v>
      </c>
      <c r="N23" s="1">
        <f aca="true" t="shared" si="1" ref="N23:N37">D23/K23</f>
        <v>22.21721712600235</v>
      </c>
      <c r="O23" s="13">
        <f aca="true" t="shared" si="2" ref="O23:O37">11*F23/EXP(0.4*N23)*1000</f>
        <v>0.9948685548656665</v>
      </c>
      <c r="P23" s="11">
        <f aca="true" t="shared" si="3" ref="P23:P37">L23/($D$16/100)*($D$14^0.6)*($D$6^0.07)</f>
        <v>1.6425608957876932</v>
      </c>
      <c r="Q23" s="11">
        <f>0.00000057*(P23^5)/(1+0.00000057/0.3*(P23^5))</f>
        <v>6.815102417841475E-06</v>
      </c>
      <c r="R23" s="1">
        <f>BR23</f>
        <v>0.2163763523647478</v>
      </c>
      <c r="S23" s="11">
        <f>K23*Q23*F23*R23/0.4</f>
        <v>4.383153328778449E-08</v>
      </c>
      <c r="T23" s="11">
        <f>M23+S23</f>
        <v>6.425138966024434E-07</v>
      </c>
      <c r="U23" s="11">
        <f>M23/T23</f>
        <v>0.9317811902286289</v>
      </c>
      <c r="V23" s="1">
        <f>$D$16/100/0.4/K23</f>
        <v>3.2954308141005133</v>
      </c>
      <c r="W23" s="1">
        <f aca="true" t="shared" si="4" ref="W23:AT23">((1-W$22)/W$22/(1-0.05)*0.05)^$V23*LN(30*$F23/($O23/1000)*W$22)</f>
        <v>6.894456685710731</v>
      </c>
      <c r="X23" s="1">
        <f t="shared" si="4"/>
        <v>0.646696929100668</v>
      </c>
      <c r="Y23" s="1">
        <f t="shared" si="4"/>
        <v>0.14832308375803702</v>
      </c>
      <c r="Z23" s="1">
        <f t="shared" si="4"/>
        <v>0.04876101702992126</v>
      </c>
      <c r="AA23" s="1">
        <f t="shared" si="4"/>
        <v>0.019404119176222433</v>
      </c>
      <c r="AB23" s="1">
        <f t="shared" si="4"/>
        <v>0.008658220650762561</v>
      </c>
      <c r="AC23" s="1">
        <f t="shared" si="4"/>
        <v>0.0041532434875689184</v>
      </c>
      <c r="AD23" s="1">
        <f t="shared" si="4"/>
        <v>0.0020856127871090114</v>
      </c>
      <c r="AE23" s="1">
        <f t="shared" si="4"/>
        <v>0.001075963542390787</v>
      </c>
      <c r="AF23" s="1">
        <f t="shared" si="4"/>
        <v>0.0005618289826980385</v>
      </c>
      <c r="AG23" s="1">
        <f t="shared" si="4"/>
        <v>0.00029301122364593817</v>
      </c>
      <c r="AH23" s="1">
        <f t="shared" si="4"/>
        <v>0.00015060270708142757</v>
      </c>
      <c r="AI23" s="1">
        <f t="shared" si="4"/>
        <v>7.51378426169339E-05</v>
      </c>
      <c r="AJ23" s="1">
        <f t="shared" si="4"/>
        <v>3.569167682952922E-05</v>
      </c>
      <c r="AK23" s="1">
        <f t="shared" si="4"/>
        <v>1.5704370122628808E-05</v>
      </c>
      <c r="AL23" s="1">
        <f t="shared" si="4"/>
        <v>6.126362504555748E-06</v>
      </c>
      <c r="AM23" s="1">
        <f t="shared" si="4"/>
        <v>1.9562556288984557E-06</v>
      </c>
      <c r="AN23" s="1">
        <f t="shared" si="4"/>
        <v>4.284192984155189E-07</v>
      </c>
      <c r="AO23" s="1">
        <f t="shared" si="4"/>
        <v>3.671624969934868E-08</v>
      </c>
      <c r="AP23" s="1">
        <f t="shared" si="4"/>
        <v>1.7020552066248432E-08</v>
      </c>
      <c r="AQ23" s="1">
        <f t="shared" si="4"/>
        <v>6.3807581279055005E-09</v>
      </c>
      <c r="AR23" s="1">
        <f t="shared" si="4"/>
        <v>1.6231112335617635E-09</v>
      </c>
      <c r="AS23" s="1">
        <f t="shared" si="4"/>
        <v>1.600447026057565E-10</v>
      </c>
      <c r="AT23" s="1">
        <f t="shared" si="4"/>
        <v>3.9771873284417226E-17</v>
      </c>
      <c r="AU23" s="1">
        <f aca="true" t="shared" si="5" ref="AU23:BQ23">0.5*(W23+X23)*(X$22-W$22)</f>
        <v>0.18852884037028497</v>
      </c>
      <c r="AV23" s="1">
        <f t="shared" si="5"/>
        <v>0.019875500321467635</v>
      </c>
      <c r="AW23" s="1">
        <f t="shared" si="5"/>
        <v>0.004927102519698956</v>
      </c>
      <c r="AX23" s="1">
        <f t="shared" si="5"/>
        <v>0.0017041284051535917</v>
      </c>
      <c r="AY23" s="1">
        <f t="shared" si="5"/>
        <v>0.0007015584956746246</v>
      </c>
      <c r="AZ23" s="1">
        <f t="shared" si="5"/>
        <v>0.0003202866034582869</v>
      </c>
      <c r="BA23" s="1">
        <f t="shared" si="5"/>
        <v>0.0001559714068669482</v>
      </c>
      <c r="BB23" s="1">
        <f t="shared" si="5"/>
        <v>7.903940823749494E-05</v>
      </c>
      <c r="BC23" s="1">
        <f t="shared" si="5"/>
        <v>4.094481312722063E-05</v>
      </c>
      <c r="BD23" s="1">
        <f t="shared" si="5"/>
        <v>2.137100515859941E-05</v>
      </c>
      <c r="BE23" s="1">
        <f t="shared" si="5"/>
        <v>1.1090348268184154E-05</v>
      </c>
      <c r="BF23" s="1">
        <f t="shared" si="5"/>
        <v>5.643513742459042E-06</v>
      </c>
      <c r="BG23" s="1">
        <f t="shared" si="5"/>
        <v>2.7707379861615804E-06</v>
      </c>
      <c r="BH23" s="1">
        <f t="shared" si="5"/>
        <v>1.2849011738039519E-06</v>
      </c>
      <c r="BI23" s="1">
        <f t="shared" si="5"/>
        <v>5.457683156796144E-07</v>
      </c>
      <c r="BJ23" s="1">
        <f t="shared" si="5"/>
        <v>2.0206545333635528E-07</v>
      </c>
      <c r="BK23" s="1">
        <f t="shared" si="5"/>
        <v>5.961687318284941E-08</v>
      </c>
      <c r="BL23" s="1">
        <f t="shared" si="5"/>
        <v>1.1628388702871701E-08</v>
      </c>
      <c r="BM23" s="1">
        <f t="shared" si="5"/>
        <v>2.6868400882797686E-10</v>
      </c>
      <c r="BN23" s="1">
        <f t="shared" si="5"/>
        <v>1.1700655097076976E-10</v>
      </c>
      <c r="BO23" s="1">
        <f t="shared" si="5"/>
        <v>4.0019346807336354E-11</v>
      </c>
      <c r="BP23" s="1">
        <f t="shared" si="5"/>
        <v>8.915779680837608E-12</v>
      </c>
      <c r="BQ23" s="1">
        <f t="shared" si="5"/>
        <v>7.92221474769269E-13</v>
      </c>
      <c r="BR23" s="1">
        <f>SUM(AU23:BQ23)</f>
        <v>0.2163763523647478</v>
      </c>
    </row>
    <row r="24" spans="2:70" ht="17.25">
      <c r="B24" s="16">
        <f>B23+0.1</f>
        <v>0.7</v>
      </c>
      <c r="C24" s="1">
        <f aca="true" t="shared" si="6" ref="C24:C37">B24*$D$6/$D$10/($D$7/1000)</f>
        <v>0.10334625879649577</v>
      </c>
      <c r="D24" s="1">
        <f aca="true" t="shared" si="7" ref="D24:D37">8.32*SQRT(9.81*B24*$D$6)*(B24/($D$9*$D$8/1000))^(1/6)</f>
        <v>0.4472871126599017</v>
      </c>
      <c r="E24" s="1">
        <f aca="true" t="shared" si="8" ref="E24:E37">((C24-0.05)/0.7)^(5/4)</f>
        <v>0.040041229958706535</v>
      </c>
      <c r="F24" s="1">
        <f aca="true" t="shared" si="9" ref="F24:F37">(E24*$D$10*($D$7/1000)/$D$6*(SQRT(9.81)/D24)^(0.7))^(20/13)</f>
        <v>1.0925403778356024</v>
      </c>
      <c r="G24" s="1">
        <f aca="true" t="shared" si="10" ref="G24:G31">D24*F24</f>
        <v>0.4886792310664446</v>
      </c>
      <c r="H24" s="1">
        <f aca="true" t="shared" si="11" ref="H24:H37">F24*$D$6/$D$10/($D$7/1000)</f>
        <v>0.16129994376202778</v>
      </c>
      <c r="I24" s="1">
        <f aca="true" t="shared" si="12" ref="I24:I37">C24/H24</f>
        <v>0.6407085854224885</v>
      </c>
      <c r="J24" s="1">
        <f aca="true" t="shared" si="13" ref="J24:J37">D24/SQRT(9.81*F24)</f>
        <v>0.13662593070981613</v>
      </c>
      <c r="K24" s="1">
        <f aca="true" t="shared" si="14" ref="K24:K37">SQRT(9.81*F24*$D$6)</f>
        <v>0.023471173913495617</v>
      </c>
      <c r="L24" s="1">
        <f aca="true" t="shared" si="15" ref="L24:L37">SQRT(9.81*B24*$D$6)</f>
        <v>0.018787330837561785</v>
      </c>
      <c r="M24" s="1">
        <f aca="true" t="shared" si="16" ref="M24:M37">SQRT($D$10*9.81*($D$7/1000))*($D$7/1000)*17*(C24-0.05)*(SQRT(C24)-SQRT(0.05))</f>
        <v>1.0944482532725588E-06</v>
      </c>
      <c r="N24" s="1">
        <f t="shared" si="1"/>
        <v>19.056870112607253</v>
      </c>
      <c r="O24" s="13">
        <f t="shared" si="2"/>
        <v>5.879126010304254</v>
      </c>
      <c r="P24" s="11">
        <f t="shared" si="3"/>
        <v>1.7741685411574293</v>
      </c>
      <c r="Q24" s="11">
        <f>0.00000057*(P24^5)/(1+0.00000057/0.3*(P24^5))</f>
        <v>1.0019238674151876E-05</v>
      </c>
      <c r="R24" s="1">
        <f aca="true" t="shared" si="17" ref="R24:R37">BR24</f>
        <v>0.21725025004338752</v>
      </c>
      <c r="S24" s="11">
        <f aca="true" t="shared" si="18" ref="S24:S37">K24*Q24*F24*R24/0.4</f>
        <v>1.3954276491090433E-07</v>
      </c>
      <c r="T24" s="11">
        <f aca="true" t="shared" si="19" ref="T24:T37">M24+S24</f>
        <v>1.233991018183463E-06</v>
      </c>
      <c r="U24" s="11">
        <f aca="true" t="shared" si="20" ref="U24:U37">M24/T24</f>
        <v>0.8869175197755306</v>
      </c>
      <c r="V24" s="1">
        <f aca="true" t="shared" si="21" ref="V24:V37">$D$16/100/0.4/K24</f>
        <v>2.5506033148131046</v>
      </c>
      <c r="W24" s="1">
        <f aca="true" t="shared" si="22" ref="W24:AL24">((1-W$22)/W$22/(1-0.05)*0.05)^$V24*LN(30*$F24/($O24/1000)*W$22)</f>
        <v>5.630317880352694</v>
      </c>
      <c r="X24" s="1">
        <f t="shared" si="22"/>
        <v>0.940277529506377</v>
      </c>
      <c r="Y24" s="1">
        <f t="shared" si="22"/>
        <v>0.3074630221185866</v>
      </c>
      <c r="Z24" s="1">
        <f t="shared" si="22"/>
        <v>0.1318713684597093</v>
      </c>
      <c r="AA24" s="1">
        <f t="shared" si="22"/>
        <v>0.06532475619256914</v>
      </c>
      <c r="AB24" s="1">
        <f t="shared" si="22"/>
        <v>0.03527728153029397</v>
      </c>
      <c r="AC24" s="1">
        <f t="shared" si="22"/>
        <v>0.020117666708918118</v>
      </c>
      <c r="AD24" s="1">
        <f t="shared" si="22"/>
        <v>0.01187371449439597</v>
      </c>
      <c r="AE24" s="1">
        <f t="shared" si="22"/>
        <v>0.00715019334686873</v>
      </c>
      <c r="AF24" s="1">
        <f t="shared" si="22"/>
        <v>0.004343491431230802</v>
      </c>
      <c r="AG24" s="1">
        <f t="shared" si="22"/>
        <v>0.0026347547383071086</v>
      </c>
      <c r="AH24" s="1">
        <f t="shared" si="22"/>
        <v>0.0015796774470950865</v>
      </c>
      <c r="AI24" s="1">
        <f t="shared" si="22"/>
        <v>0.0009252353170804408</v>
      </c>
      <c r="AJ24" s="1">
        <f t="shared" si="22"/>
        <v>0.0005215749391266805</v>
      </c>
      <c r="AK24" s="1">
        <f t="shared" si="22"/>
        <v>0.00027703895160216497</v>
      </c>
      <c r="AL24" s="1">
        <f t="shared" si="22"/>
        <v>0.00013403559711353894</v>
      </c>
      <c r="AM24" s="1">
        <f aca="true" t="shared" si="23" ref="Y24:AT35">((1-AM$22)/AM$22/(1-0.05)*0.05)^$V24*LN(30*$F24/($O24/1000)*AM$22)</f>
        <v>5.552881219130238E-05</v>
      </c>
      <c r="AN24" s="1">
        <f t="shared" si="23"/>
        <v>1.7178588060635425E-05</v>
      </c>
      <c r="AO24" s="1">
        <f t="shared" si="23"/>
        <v>2.5706057074880977E-06</v>
      </c>
      <c r="AP24" s="1">
        <f t="shared" si="23"/>
        <v>1.418362693494845E-06</v>
      </c>
      <c r="AQ24" s="1">
        <f t="shared" si="23"/>
        <v>6.639923090500682E-07</v>
      </c>
      <c r="AR24" s="1">
        <f t="shared" si="23"/>
        <v>2.3023998345045913E-07</v>
      </c>
      <c r="AS24" s="1">
        <f t="shared" si="23"/>
        <v>3.8338822053113816E-08</v>
      </c>
      <c r="AT24" s="1">
        <f t="shared" si="23"/>
        <v>2.964225835080216E-13</v>
      </c>
      <c r="AU24" s="1">
        <f aca="true" t="shared" si="24" ref="AU24:AU35">0.5*(W24+X24)*(X$22-W$22)</f>
        <v>0.16426488524647676</v>
      </c>
      <c r="AV24" s="1">
        <f aca="true" t="shared" si="25" ref="AV24:AV36">0.5*(X24+Y24)*(Y$22-X$22)</f>
        <v>0.0311935137906241</v>
      </c>
      <c r="AW24" s="1">
        <f aca="true" t="shared" si="26" ref="AW24:AW36">0.5*(Y24+Z24)*(Z$22-Y$22)</f>
        <v>0.010983359764457397</v>
      </c>
      <c r="AX24" s="1">
        <f aca="true" t="shared" si="27" ref="AX24:AX36">0.5*(Z24+AA24)*(AA$22-Z$22)</f>
        <v>0.00492990311630696</v>
      </c>
      <c r="AY24" s="1">
        <f aca="true" t="shared" si="28" ref="AY24:AY36">0.5*(AA24+AB24)*(AB$22-AA$22)</f>
        <v>0.002515050943071577</v>
      </c>
      <c r="AZ24" s="1">
        <f aca="true" t="shared" si="29" ref="AZ24:AZ36">0.5*(AB24+AC24)*(AC$22-AB$22)</f>
        <v>0.0013848737059803018</v>
      </c>
      <c r="BA24" s="1">
        <f aca="true" t="shared" si="30" ref="BA24:BA36">0.5*(AC24+AD24)*(AD$22-AC$22)</f>
        <v>0.000799784530082852</v>
      </c>
      <c r="BB24" s="1">
        <f aca="true" t="shared" si="31" ref="BB24:BB36">0.5*(AD24+AE24)*(AE$22-AD$22)</f>
        <v>0.0004755976960316174</v>
      </c>
      <c r="BC24" s="1">
        <f aca="true" t="shared" si="32" ref="BC24:BC36">0.5*(AE24+AF24)*(AF$22-AE$22)</f>
        <v>0.0002873421194524882</v>
      </c>
      <c r="BD24" s="1">
        <f aca="true" t="shared" si="33" ref="BD24:BD36">0.5*(AF24+AG24)*(AG$22-AF$22)</f>
        <v>0.00017445615423844772</v>
      </c>
      <c r="BE24" s="1">
        <f aca="true" t="shared" si="34" ref="BE24:BE36">0.5*(AG24+AH24)*(AH$22-AG$22)</f>
        <v>0.00010536080463505498</v>
      </c>
      <c r="BF24" s="1">
        <f aca="true" t="shared" si="35" ref="BF24:BF36">0.5*(AH24+AI24)*(AI$22-AH$22)</f>
        <v>6.262281910438824E-05</v>
      </c>
      <c r="BG24" s="1">
        <f aca="true" t="shared" si="36" ref="BG24:BG36">0.5*(AI24+AJ24)*(AJ$22-AI$22)</f>
        <v>3.617025640517806E-05</v>
      </c>
      <c r="BH24" s="1">
        <f aca="true" t="shared" si="37" ref="BH24:BH36">0.5*(AJ24+AK24)*(AK$22-AJ$22)</f>
        <v>1.9965347268221154E-05</v>
      </c>
      <c r="BI24" s="1">
        <f aca="true" t="shared" si="38" ref="BI24:BI36">0.5*(AK24+AL24)*(AL$22-AK$22)</f>
        <v>1.0276863717892607E-05</v>
      </c>
      <c r="BJ24" s="1">
        <f aca="true" t="shared" si="39" ref="BJ24:BJ36">0.5*(AL24+AM24)*(AM$22-AL$22)</f>
        <v>4.739110232621038E-06</v>
      </c>
      <c r="BK24" s="1">
        <f aca="true" t="shared" si="40" ref="BK24:BK36">0.5*(AM24+AN24)*(AN$22-AM$22)</f>
        <v>1.8176850062984466E-06</v>
      </c>
      <c r="BL24" s="1">
        <f aca="true" t="shared" si="41" ref="BL24:BL36">0.5*(AN24+AO24)*(AO$22-AN$22)</f>
        <v>4.937298442030885E-07</v>
      </c>
      <c r="BM24" s="1">
        <f aca="true" t="shared" si="42" ref="BM24:BM36">0.5*(AO24+AP24)*(AP$22-AO$22)</f>
        <v>1.994484200491407E-08</v>
      </c>
      <c r="BN24" s="1">
        <f aca="true" t="shared" si="43" ref="BN24:BN36">0.5*(AP24+AQ24)*(AQ$22-AP$22)</f>
        <v>1.0411775012724574E-08</v>
      </c>
      <c r="BO24" s="1">
        <f aca="true" t="shared" si="44" ref="BO24:BO36">0.5*(AQ24+AR24)*(AR$22-AQ$22)</f>
        <v>4.471161462502641E-09</v>
      </c>
      <c r="BP24" s="1">
        <f aca="true" t="shared" si="45" ref="BP24:BP36">0.5*(AR24+AS24)*(AS$22-AR$22)</f>
        <v>1.342894027517866E-09</v>
      </c>
      <c r="BQ24" s="1">
        <f aca="true" t="shared" si="46" ref="BQ24:BQ36">0.5*(AS24+AT24)*(AT$22-AS$22)</f>
        <v>1.8977863645470214E-10</v>
      </c>
      <c r="BR24" s="1">
        <f aca="true" t="shared" si="47" ref="BR24:BR37">SUM(AU24:BQ24)</f>
        <v>0.21725025004338752</v>
      </c>
    </row>
    <row r="25" spans="2:70" ht="17.25">
      <c r="B25" s="16">
        <f aca="true" t="shared" si="48" ref="B25:B36">B24+0.1</f>
        <v>0.7999999999999999</v>
      </c>
      <c r="C25" s="1">
        <f t="shared" si="6"/>
        <v>0.11811001005313802</v>
      </c>
      <c r="D25" s="1">
        <f t="shared" si="7"/>
        <v>0.48893112311963</v>
      </c>
      <c r="E25" s="1">
        <f t="shared" si="8"/>
        <v>0.054342689747027224</v>
      </c>
      <c r="F25" s="1">
        <f t="shared" si="9"/>
        <v>1.588013284208665</v>
      </c>
      <c r="G25" s="1">
        <f t="shared" si="10"/>
        <v>0.7764291185770348</v>
      </c>
      <c r="H25" s="1">
        <f t="shared" si="11"/>
        <v>0.23445033120300268</v>
      </c>
      <c r="I25" s="1">
        <f t="shared" si="12"/>
        <v>0.503774123274198</v>
      </c>
      <c r="J25" s="1">
        <f t="shared" si="13"/>
        <v>0.12387569785413399</v>
      </c>
      <c r="K25" s="1">
        <f t="shared" si="14"/>
        <v>0.028297178134041423</v>
      </c>
      <c r="L25" s="1">
        <f t="shared" si="15"/>
        <v>0.020084501487465403</v>
      </c>
      <c r="M25" s="1">
        <f t="shared" si="16"/>
        <v>1.7142529275437495E-06</v>
      </c>
      <c r="N25" s="1">
        <f t="shared" si="1"/>
        <v>17.278441009333267</v>
      </c>
      <c r="O25" s="13">
        <f t="shared" si="2"/>
        <v>17.405006177809224</v>
      </c>
      <c r="P25" s="11">
        <f t="shared" si="3"/>
        <v>1.8966659506867547</v>
      </c>
      <c r="Q25" s="11">
        <f aca="true" t="shared" si="49" ref="Q25:Q37">0.00000057*(P25^5)/(1+0.00000057/0.3*(P25^5))</f>
        <v>1.3989714181377792E-05</v>
      </c>
      <c r="R25" s="1">
        <f t="shared" si="17"/>
        <v>0.23337147134394795</v>
      </c>
      <c r="S25" s="11">
        <f t="shared" si="18"/>
        <v>3.667700584818699E-07</v>
      </c>
      <c r="T25" s="11">
        <f t="shared" si="19"/>
        <v>2.0810229860256196E-06</v>
      </c>
      <c r="U25" s="11">
        <f t="shared" si="20"/>
        <v>0.8237549220048093</v>
      </c>
      <c r="V25" s="1">
        <f t="shared" si="21"/>
        <v>2.1156050862293787</v>
      </c>
      <c r="W25" s="1">
        <f aca="true" t="shared" si="50" ref="W25:X37">((1-W$22)/W$22/(1-0.05)*0.05)^$V25*LN(30*$F25/($O25/1000)*W$22)</f>
        <v>4.9189462390431</v>
      </c>
      <c r="X25" s="1">
        <f t="shared" si="50"/>
        <v>1.1550148713134407</v>
      </c>
      <c r="Y25" s="1">
        <f t="shared" si="23"/>
        <v>0.46540017682104073</v>
      </c>
      <c r="Z25" s="1">
        <f t="shared" si="23"/>
        <v>0.23339159985513705</v>
      </c>
      <c r="AA25" s="1">
        <f t="shared" si="23"/>
        <v>0.13148258467685708</v>
      </c>
      <c r="AB25" s="1">
        <f t="shared" si="23"/>
        <v>0.07941894800336524</v>
      </c>
      <c r="AC25" s="1">
        <f t="shared" si="23"/>
        <v>0.050126149398848754</v>
      </c>
      <c r="AD25" s="1">
        <f t="shared" si="23"/>
        <v>0.032523699827985</v>
      </c>
      <c r="AE25" s="1">
        <f t="shared" si="23"/>
        <v>0.021442928483877993</v>
      </c>
      <c r="AF25" s="1">
        <f t="shared" si="23"/>
        <v>0.014232843619225907</v>
      </c>
      <c r="AG25" s="1">
        <f t="shared" si="23"/>
        <v>0.009432149392329349</v>
      </c>
      <c r="AH25" s="1">
        <f t="shared" si="23"/>
        <v>0.006188431604653317</v>
      </c>
      <c r="AI25" s="1">
        <f t="shared" si="23"/>
        <v>0.003981251267772061</v>
      </c>
      <c r="AJ25" s="1">
        <f t="shared" si="23"/>
        <v>0.002480709511671726</v>
      </c>
      <c r="AK25" s="1">
        <f t="shared" si="23"/>
        <v>0.0014710104848607553</v>
      </c>
      <c r="AL25" s="1">
        <f t="shared" si="23"/>
        <v>0.0008071499354241362</v>
      </c>
      <c r="AM25" s="1">
        <f t="shared" si="23"/>
        <v>0.0003893509502481807</v>
      </c>
      <c r="AN25" s="1">
        <f t="shared" si="23"/>
        <v>0.00014739243003916556</v>
      </c>
      <c r="AO25" s="1">
        <f t="shared" si="23"/>
        <v>3.054459051922772E-05</v>
      </c>
      <c r="AP25" s="1">
        <f t="shared" si="23"/>
        <v>1.865812298142003E-05</v>
      </c>
      <c r="AQ25" s="1">
        <f t="shared" si="23"/>
        <v>9.944818029771102E-06</v>
      </c>
      <c r="AR25" s="1">
        <f t="shared" si="23"/>
        <v>4.132360981648357E-06</v>
      </c>
      <c r="AS25" s="1">
        <f t="shared" si="23"/>
        <v>9.344753631163297E-07</v>
      </c>
      <c r="AT25" s="1">
        <f t="shared" si="23"/>
        <v>5.3797452207089824E-11</v>
      </c>
      <c r="AU25" s="1">
        <f t="shared" si="24"/>
        <v>0.1518490277589135</v>
      </c>
      <c r="AV25" s="1">
        <f t="shared" si="25"/>
        <v>0.04051037620336205</v>
      </c>
      <c r="AW25" s="1">
        <f t="shared" si="26"/>
        <v>0.01746979441690444</v>
      </c>
      <c r="AX25" s="1">
        <f t="shared" si="27"/>
        <v>0.009121854613299852</v>
      </c>
      <c r="AY25" s="1">
        <f t="shared" si="28"/>
        <v>0.005272538317005557</v>
      </c>
      <c r="AZ25" s="1">
        <f t="shared" si="29"/>
        <v>0.003238627435055349</v>
      </c>
      <c r="BA25" s="1">
        <f t="shared" si="30"/>
        <v>0.0020662462306708434</v>
      </c>
      <c r="BB25" s="1">
        <f t="shared" si="31"/>
        <v>0.0013491657077965746</v>
      </c>
      <c r="BC25" s="1">
        <f t="shared" si="32"/>
        <v>0.0008918943025775974</v>
      </c>
      <c r="BD25" s="1">
        <f t="shared" si="33"/>
        <v>0.0005916248252888813</v>
      </c>
      <c r="BE25" s="1">
        <f t="shared" si="34"/>
        <v>0.000390514524924567</v>
      </c>
      <c r="BF25" s="1">
        <f t="shared" si="35"/>
        <v>0.00025424207181063465</v>
      </c>
      <c r="BG25" s="1">
        <f t="shared" si="36"/>
        <v>0.00016154901948609482</v>
      </c>
      <c r="BH25" s="1">
        <f t="shared" si="37"/>
        <v>9.879299991331211E-05</v>
      </c>
      <c r="BI25" s="1">
        <f t="shared" si="38"/>
        <v>5.695401050712234E-05</v>
      </c>
      <c r="BJ25" s="1">
        <f t="shared" si="39"/>
        <v>2.9912522141807948E-05</v>
      </c>
      <c r="BK25" s="1">
        <f t="shared" si="40"/>
        <v>1.3418584507183668E-05</v>
      </c>
      <c r="BL25" s="1">
        <f t="shared" si="41"/>
        <v>4.448425513959836E-06</v>
      </c>
      <c r="BM25" s="1">
        <f t="shared" si="42"/>
        <v>2.4601356750323073E-07</v>
      </c>
      <c r="BN25" s="1">
        <f t="shared" si="43"/>
        <v>1.4301470505595577E-07</v>
      </c>
      <c r="BO25" s="1">
        <f t="shared" si="44"/>
        <v>7.038589505709735E-08</v>
      </c>
      <c r="BP25" s="1">
        <f t="shared" si="45"/>
        <v>2.5334181723823457E-08</v>
      </c>
      <c r="BQ25" s="1">
        <f t="shared" si="46"/>
        <v>4.625919344814266E-09</v>
      </c>
      <c r="BR25" s="1">
        <f t="shared" si="47"/>
        <v>0.23337147134394795</v>
      </c>
    </row>
    <row r="26" spans="2:70" ht="17.25">
      <c r="B26" s="16">
        <f t="shared" si="48"/>
        <v>0.8999999999999999</v>
      </c>
      <c r="C26" s="1">
        <f t="shared" si="6"/>
        <v>0.13287376130978026</v>
      </c>
      <c r="D26" s="1">
        <f t="shared" si="7"/>
        <v>0.5288705266719038</v>
      </c>
      <c r="E26" s="1">
        <f t="shared" si="8"/>
        <v>0.069446244131667</v>
      </c>
      <c r="F26" s="1">
        <f t="shared" si="9"/>
        <v>2.1280760250330406</v>
      </c>
      <c r="G26" s="1">
        <f t="shared" si="10"/>
        <v>1.1254766881570757</v>
      </c>
      <c r="H26" s="1">
        <f t="shared" si="11"/>
        <v>0.31418385088811807</v>
      </c>
      <c r="I26" s="1">
        <f t="shared" si="12"/>
        <v>0.4229172216655307</v>
      </c>
      <c r="J26" s="1">
        <f t="shared" si="13"/>
        <v>0.11575007785449182</v>
      </c>
      <c r="K26" s="1">
        <f t="shared" si="14"/>
        <v>0.03275741574676657</v>
      </c>
      <c r="L26" s="1">
        <f t="shared" si="15"/>
        <v>0.02130283079780713</v>
      </c>
      <c r="M26" s="1">
        <f t="shared" si="16"/>
        <v>2.448010606076815E-06</v>
      </c>
      <c r="N26" s="1">
        <f t="shared" si="1"/>
        <v>16.14506256416481</v>
      </c>
      <c r="O26" s="13">
        <f t="shared" si="2"/>
        <v>36.70246147611108</v>
      </c>
      <c r="P26" s="11">
        <f t="shared" si="3"/>
        <v>2.011718033064352</v>
      </c>
      <c r="Q26" s="11">
        <f t="shared" si="49"/>
        <v>1.877946490744704E-05</v>
      </c>
      <c r="R26" s="1">
        <f t="shared" si="17"/>
        <v>0.2568071303782123</v>
      </c>
      <c r="S26" s="11">
        <f t="shared" si="18"/>
        <v>8.404793969012521E-07</v>
      </c>
      <c r="T26" s="11">
        <f t="shared" si="19"/>
        <v>3.288490002978067E-06</v>
      </c>
      <c r="U26" s="11">
        <f t="shared" si="20"/>
        <v>0.74441783428257</v>
      </c>
      <c r="V26" s="1">
        <f t="shared" si="21"/>
        <v>1.8275450801465019</v>
      </c>
      <c r="W26" s="1">
        <f t="shared" si="50"/>
        <v>4.465594860975718</v>
      </c>
      <c r="X26" s="1">
        <f t="shared" si="50"/>
        <v>1.3166949295456694</v>
      </c>
      <c r="Y26" s="1">
        <f t="shared" si="23"/>
        <v>0.60976670751565</v>
      </c>
      <c r="Z26" s="1">
        <f t="shared" si="23"/>
        <v>0.3393188755739153</v>
      </c>
      <c r="AA26" s="1">
        <f t="shared" si="23"/>
        <v>0.20822332382661346</v>
      </c>
      <c r="AB26" s="1">
        <f t="shared" si="23"/>
        <v>0.1354893188862172</v>
      </c>
      <c r="AC26" s="1">
        <f t="shared" si="23"/>
        <v>0.09147597805411775</v>
      </c>
      <c r="AD26" s="1">
        <f t="shared" si="23"/>
        <v>0.06320434403732754</v>
      </c>
      <c r="AE26" s="1">
        <f t="shared" si="23"/>
        <v>0.04425364695375348</v>
      </c>
      <c r="AF26" s="1">
        <f t="shared" si="23"/>
        <v>0.031152438345338297</v>
      </c>
      <c r="AG26" s="1">
        <f t="shared" si="23"/>
        <v>0.021892445978042893</v>
      </c>
      <c r="AH26" s="1">
        <f t="shared" si="23"/>
        <v>0.015248305194890233</v>
      </c>
      <c r="AI26" s="1">
        <f t="shared" si="23"/>
        <v>0.01043955926553643</v>
      </c>
      <c r="AJ26" s="1">
        <f t="shared" si="23"/>
        <v>0.006951344403550741</v>
      </c>
      <c r="AK26" s="1">
        <f t="shared" si="23"/>
        <v>0.004434038206911915</v>
      </c>
      <c r="AL26" s="1">
        <f t="shared" si="23"/>
        <v>0.0026445876576780395</v>
      </c>
      <c r="AM26" s="1">
        <f t="shared" si="23"/>
        <v>0.0014110156429888723</v>
      </c>
      <c r="AN26" s="1">
        <f t="shared" si="23"/>
        <v>0.0006105745446133427</v>
      </c>
      <c r="AO26" s="1">
        <f t="shared" si="23"/>
        <v>0.0001569858421271827</v>
      </c>
      <c r="AP26" s="1">
        <f t="shared" si="23"/>
        <v>0.00010257826608165654</v>
      </c>
      <c r="AQ26" s="1">
        <f t="shared" si="23"/>
        <v>5.958067013434691E-05</v>
      </c>
      <c r="AR26" s="1">
        <f t="shared" si="23"/>
        <v>2.7909315424599898E-05</v>
      </c>
      <c r="AS26" s="1">
        <f t="shared" si="23"/>
        <v>7.729253708242366E-06</v>
      </c>
      <c r="AT26" s="1">
        <f t="shared" si="23"/>
        <v>1.6816261848480028E-09</v>
      </c>
      <c r="AU26" s="1">
        <f t="shared" si="24"/>
        <v>0.1445572447630347</v>
      </c>
      <c r="AV26" s="1">
        <f t="shared" si="25"/>
        <v>0.048161540926533006</v>
      </c>
      <c r="AW26" s="1">
        <f t="shared" si="26"/>
        <v>0.023727139577239126</v>
      </c>
      <c r="AX26" s="1">
        <f t="shared" si="27"/>
        <v>0.013688554985013215</v>
      </c>
      <c r="AY26" s="1">
        <f t="shared" si="28"/>
        <v>0.008592816067820764</v>
      </c>
      <c r="AZ26" s="1">
        <f t="shared" si="29"/>
        <v>0.005674132423508373</v>
      </c>
      <c r="BA26" s="1">
        <f t="shared" si="30"/>
        <v>0.003867008052286131</v>
      </c>
      <c r="BB26" s="1">
        <f t="shared" si="31"/>
        <v>0.002686449774777025</v>
      </c>
      <c r="BC26" s="1">
        <f t="shared" si="32"/>
        <v>0.001885152132477294</v>
      </c>
      <c r="BD26" s="1">
        <f t="shared" si="33"/>
        <v>0.0013261221080845295</v>
      </c>
      <c r="BE26" s="1">
        <f t="shared" si="34"/>
        <v>0.000928518779323329</v>
      </c>
      <c r="BF26" s="1">
        <f t="shared" si="35"/>
        <v>0.0006421966115106671</v>
      </c>
      <c r="BG26" s="1">
        <f t="shared" si="36"/>
        <v>0.0004347725917271797</v>
      </c>
      <c r="BH26" s="1">
        <f t="shared" si="37"/>
        <v>0.00028463456526156664</v>
      </c>
      <c r="BI26" s="1">
        <f t="shared" si="38"/>
        <v>0.00017696564661474903</v>
      </c>
      <c r="BJ26" s="1">
        <f t="shared" si="39"/>
        <v>0.00010139008251667289</v>
      </c>
      <c r="BK26" s="1">
        <f t="shared" si="40"/>
        <v>5.053975469005542E-05</v>
      </c>
      <c r="BL26" s="1">
        <f t="shared" si="41"/>
        <v>1.918900966851315E-05</v>
      </c>
      <c r="BM26" s="1">
        <f t="shared" si="42"/>
        <v>1.297820541044154E-06</v>
      </c>
      <c r="BN26" s="1">
        <f t="shared" si="43"/>
        <v>8.10794681080018E-07</v>
      </c>
      <c r="BO26" s="1">
        <f t="shared" si="44"/>
        <v>4.374499277947344E-07</v>
      </c>
      <c r="BP26" s="1">
        <f t="shared" si="45"/>
        <v>1.781928456642115E-07</v>
      </c>
      <c r="BQ26" s="1">
        <f t="shared" si="46"/>
        <v>3.8268129905414786E-08</v>
      </c>
      <c r="BR26" s="1">
        <f t="shared" si="47"/>
        <v>0.2568071303782123</v>
      </c>
    </row>
    <row r="27" spans="2:70" ht="17.25">
      <c r="B27" s="16">
        <f t="shared" si="48"/>
        <v>0.9999999999999999</v>
      </c>
      <c r="C27" s="1">
        <f t="shared" si="6"/>
        <v>0.1476375125664225</v>
      </c>
      <c r="D27" s="1">
        <f t="shared" si="7"/>
        <v>0.5673543103694574</v>
      </c>
      <c r="E27" s="1">
        <f t="shared" si="8"/>
        <v>0.08524096023392934</v>
      </c>
      <c r="F27" s="1">
        <f t="shared" si="9"/>
        <v>2.7043196491231756</v>
      </c>
      <c r="G27" s="1">
        <f t="shared" si="10"/>
        <v>1.5343074095468523</v>
      </c>
      <c r="H27" s="1">
        <f t="shared" si="11"/>
        <v>0.3992590261810462</v>
      </c>
      <c r="I27" s="1">
        <f t="shared" si="12"/>
        <v>0.3697787723889189</v>
      </c>
      <c r="J27" s="1">
        <f t="shared" si="13"/>
        <v>0.1101516084474171</v>
      </c>
      <c r="K27" s="1">
        <f t="shared" si="14"/>
        <v>0.03692708916169775</v>
      </c>
      <c r="L27" s="1">
        <f t="shared" si="15"/>
        <v>0.02245515531008414</v>
      </c>
      <c r="M27" s="1">
        <f t="shared" si="16"/>
        <v>3.287691237704224E-06</v>
      </c>
      <c r="N27" s="1">
        <f t="shared" si="1"/>
        <v>15.364176360749818</v>
      </c>
      <c r="O27" s="13">
        <f t="shared" si="2"/>
        <v>63.74115135357658</v>
      </c>
      <c r="P27" s="11">
        <f t="shared" si="3"/>
        <v>2.1205369981724234</v>
      </c>
      <c r="Q27" s="11">
        <f t="shared" si="49"/>
        <v>2.4438173711341785E-05</v>
      </c>
      <c r="R27" s="1">
        <f t="shared" si="17"/>
        <v>0.28431318721058435</v>
      </c>
      <c r="S27" s="11">
        <f t="shared" si="18"/>
        <v>1.734638010950839E-06</v>
      </c>
      <c r="T27" s="11">
        <f t="shared" si="19"/>
        <v>5.022329248655063E-06</v>
      </c>
      <c r="U27" s="11">
        <f t="shared" si="20"/>
        <v>0.6546148360513481</v>
      </c>
      <c r="V27" s="1">
        <f t="shared" si="21"/>
        <v>1.6211852963599371</v>
      </c>
      <c r="W27" s="1">
        <f t="shared" si="50"/>
        <v>4.153240379609721</v>
      </c>
      <c r="X27" s="1">
        <f t="shared" si="50"/>
        <v>1.4431967133568162</v>
      </c>
      <c r="Y27" s="1">
        <f t="shared" si="23"/>
        <v>0.738753812552553</v>
      </c>
      <c r="Z27" s="1">
        <f t="shared" si="23"/>
        <v>0.44302431249486934</v>
      </c>
      <c r="AA27" s="1">
        <f t="shared" si="23"/>
        <v>0.28908782555871676</v>
      </c>
      <c r="AB27" s="1">
        <f t="shared" si="23"/>
        <v>0.19843298529152079</v>
      </c>
      <c r="AC27" s="1">
        <f t="shared" si="23"/>
        <v>0.14061151378029965</v>
      </c>
      <c r="AD27" s="1">
        <f t="shared" si="23"/>
        <v>0.10163773732098605</v>
      </c>
      <c r="AE27" s="1">
        <f t="shared" si="23"/>
        <v>0.07430115618301947</v>
      </c>
      <c r="AF27" s="1">
        <f t="shared" si="23"/>
        <v>0.05455759851980059</v>
      </c>
      <c r="AG27" s="1">
        <f t="shared" si="23"/>
        <v>0.039988348960611965</v>
      </c>
      <c r="AH27" s="1">
        <f t="shared" si="23"/>
        <v>0.029071923817747335</v>
      </c>
      <c r="AI27" s="1">
        <f t="shared" si="23"/>
        <v>0.02081170505113974</v>
      </c>
      <c r="AJ27" s="1">
        <f t="shared" si="23"/>
        <v>0.014533212499761802</v>
      </c>
      <c r="AK27" s="1">
        <f t="shared" si="23"/>
        <v>0.009768037408321344</v>
      </c>
      <c r="AL27" s="1">
        <f t="shared" si="23"/>
        <v>0.006184782478707375</v>
      </c>
      <c r="AM27" s="1">
        <f t="shared" si="23"/>
        <v>0.00354712517558563</v>
      </c>
      <c r="AN27" s="1">
        <f t="shared" si="23"/>
        <v>0.0016892540629881332</v>
      </c>
      <c r="AO27" s="1">
        <f t="shared" si="23"/>
        <v>0.0005069011831677472</v>
      </c>
      <c r="AP27" s="1">
        <f t="shared" si="23"/>
        <v>0.00034760172077424395</v>
      </c>
      <c r="AQ27" s="1">
        <f t="shared" si="23"/>
        <v>0.00021471857391526167</v>
      </c>
      <c r="AR27" s="1">
        <f t="shared" si="23"/>
        <v>0.00010959658737805325</v>
      </c>
      <c r="AS27" s="1">
        <f t="shared" si="23"/>
        <v>3.509471228138065E-05</v>
      </c>
      <c r="AT27" s="1">
        <f t="shared" si="23"/>
        <v>1.9791114447539637E-08</v>
      </c>
      <c r="AU27" s="1">
        <f t="shared" si="24"/>
        <v>0.13991092732416344</v>
      </c>
      <c r="AV27" s="1">
        <f t="shared" si="25"/>
        <v>0.05454876314773424</v>
      </c>
      <c r="AW27" s="1">
        <f t="shared" si="26"/>
        <v>0.029544453126185553</v>
      </c>
      <c r="AX27" s="1">
        <f t="shared" si="27"/>
        <v>0.01830280345133965</v>
      </c>
      <c r="AY27" s="1">
        <f t="shared" si="28"/>
        <v>0.012188020271255937</v>
      </c>
      <c r="AZ27" s="1">
        <f t="shared" si="29"/>
        <v>0.008476112476795509</v>
      </c>
      <c r="BA27" s="1">
        <f t="shared" si="30"/>
        <v>0.006056231277532141</v>
      </c>
      <c r="BB27" s="1">
        <f t="shared" si="31"/>
        <v>0.004398472337600137</v>
      </c>
      <c r="BC27" s="1">
        <f t="shared" si="32"/>
        <v>0.0032214688675705006</v>
      </c>
      <c r="BD27" s="1">
        <f t="shared" si="33"/>
        <v>0.0023636486870103135</v>
      </c>
      <c r="BE27" s="1">
        <f t="shared" si="34"/>
        <v>0.001726506819458984</v>
      </c>
      <c r="BF27" s="1">
        <f t="shared" si="35"/>
        <v>0.0012470907217221779</v>
      </c>
      <c r="BG27" s="1">
        <f t="shared" si="36"/>
        <v>0.0008836229387725393</v>
      </c>
      <c r="BH27" s="1">
        <f t="shared" si="37"/>
        <v>0.0006075312477020792</v>
      </c>
      <c r="BI27" s="1">
        <f t="shared" si="38"/>
        <v>0.0003988204971757183</v>
      </c>
      <c r="BJ27" s="1">
        <f t="shared" si="39"/>
        <v>0.00024329769135732535</v>
      </c>
      <c r="BK27" s="1">
        <f t="shared" si="40"/>
        <v>0.0001309094809643442</v>
      </c>
      <c r="BL27" s="1">
        <f t="shared" si="41"/>
        <v>5.490388115389706E-05</v>
      </c>
      <c r="BM27" s="1">
        <f t="shared" si="42"/>
        <v>4.272514519709817E-06</v>
      </c>
      <c r="BN27" s="1">
        <f t="shared" si="43"/>
        <v>2.8116014734475303E-06</v>
      </c>
      <c r="BO27" s="1">
        <f t="shared" si="44"/>
        <v>1.621575806466576E-06</v>
      </c>
      <c r="BP27" s="1">
        <f t="shared" si="45"/>
        <v>7.234564982971701E-07</v>
      </c>
      <c r="BQ27" s="1">
        <f t="shared" si="46"/>
        <v>1.738167918093499E-07</v>
      </c>
      <c r="BR27" s="1">
        <f t="shared" si="47"/>
        <v>0.28431318721058435</v>
      </c>
    </row>
    <row r="28" spans="2:70" ht="17.25">
      <c r="B28" s="16">
        <f t="shared" si="48"/>
        <v>1.0999999999999999</v>
      </c>
      <c r="C28" s="1">
        <f t="shared" si="6"/>
        <v>0.16240126382306477</v>
      </c>
      <c r="D28" s="1">
        <f t="shared" si="7"/>
        <v>0.6045740221688716</v>
      </c>
      <c r="E28" s="1">
        <f t="shared" si="8"/>
        <v>0.10164626919030137</v>
      </c>
      <c r="F28" s="1">
        <f t="shared" si="9"/>
        <v>3.310891755996921</v>
      </c>
      <c r="G28" s="1">
        <f t="shared" si="10"/>
        <v>2.0016791458888163</v>
      </c>
      <c r="H28" s="1">
        <f t="shared" si="11"/>
        <v>0.4888118232320601</v>
      </c>
      <c r="I28" s="1">
        <f t="shared" si="12"/>
        <v>0.3322367751852963</v>
      </c>
      <c r="J28" s="1">
        <f t="shared" si="13"/>
        <v>0.10608219251893528</v>
      </c>
      <c r="K28" s="1">
        <f t="shared" si="14"/>
        <v>0.04085907724965594</v>
      </c>
      <c r="L28" s="1">
        <f t="shared" si="15"/>
        <v>0.02355116557625121</v>
      </c>
      <c r="M28" s="1">
        <f t="shared" si="16"/>
        <v>4.226715529183319E-06</v>
      </c>
      <c r="N28" s="1">
        <f t="shared" si="1"/>
        <v>14.796565729441735</v>
      </c>
      <c r="O28" s="13">
        <f t="shared" si="2"/>
        <v>97.92891181404497</v>
      </c>
      <c r="P28" s="11">
        <f t="shared" si="3"/>
        <v>2.2240379665554104</v>
      </c>
      <c r="Q28" s="11">
        <f t="shared" si="49"/>
        <v>3.1012797385597845E-05</v>
      </c>
      <c r="R28" s="1">
        <f t="shared" si="17"/>
        <v>0.3142442713484095</v>
      </c>
      <c r="S28" s="11">
        <f t="shared" si="18"/>
        <v>3.2959594247214845E-06</v>
      </c>
      <c r="T28" s="11">
        <f t="shared" si="19"/>
        <v>7.522674953904803E-06</v>
      </c>
      <c r="U28" s="11">
        <f t="shared" si="20"/>
        <v>0.5618633737443823</v>
      </c>
      <c r="V28" s="1">
        <f t="shared" si="21"/>
        <v>1.4651739103290908</v>
      </c>
      <c r="W28" s="1">
        <f t="shared" si="50"/>
        <v>3.9261961270864876</v>
      </c>
      <c r="X28" s="1">
        <f t="shared" si="50"/>
        <v>1.5456638691107545</v>
      </c>
      <c r="Y28" s="1">
        <f t="shared" si="23"/>
        <v>0.8536486090796075</v>
      </c>
      <c r="Z28" s="1">
        <f t="shared" si="23"/>
        <v>0.5417817146903915</v>
      </c>
      <c r="AA28" s="1">
        <f t="shared" si="23"/>
        <v>0.37037065690952176</v>
      </c>
      <c r="AB28" s="1">
        <f t="shared" si="23"/>
        <v>0.2647246300271031</v>
      </c>
      <c r="AC28" s="1">
        <f t="shared" si="23"/>
        <v>0.19458198553911693</v>
      </c>
      <c r="AD28" s="1">
        <f t="shared" si="23"/>
        <v>0.1455348597215914</v>
      </c>
      <c r="AE28" s="1">
        <f t="shared" si="23"/>
        <v>0.1099228166529358</v>
      </c>
      <c r="AF28" s="1">
        <f t="shared" si="23"/>
        <v>0.08333101335002593</v>
      </c>
      <c r="AG28" s="1">
        <f t="shared" si="23"/>
        <v>0.06305384290643211</v>
      </c>
      <c r="AH28" s="1">
        <f t="shared" si="23"/>
        <v>0.04735131089247495</v>
      </c>
      <c r="AI28" s="1">
        <f t="shared" si="23"/>
        <v>0.03506063613801747</v>
      </c>
      <c r="AJ28" s="1">
        <f t="shared" si="23"/>
        <v>0.025380787777573865</v>
      </c>
      <c r="AK28" s="1">
        <f t="shared" si="23"/>
        <v>0.017747188592729852</v>
      </c>
      <c r="AL28" s="1">
        <f t="shared" si="23"/>
        <v>0.011756472269419891</v>
      </c>
      <c r="AM28" s="1">
        <f t="shared" si="23"/>
        <v>0.007121251089937771</v>
      </c>
      <c r="AN28" s="1">
        <f t="shared" si="23"/>
        <v>0.003646180140779436</v>
      </c>
      <c r="AO28" s="1">
        <f t="shared" si="23"/>
        <v>0.0012297138273297875</v>
      </c>
      <c r="AP28" s="1">
        <f t="shared" si="23"/>
        <v>0.0008746058092581215</v>
      </c>
      <c r="AQ28" s="1">
        <f t="shared" si="23"/>
        <v>0.000565998016020717</v>
      </c>
      <c r="AR28" s="1">
        <f t="shared" si="23"/>
        <v>0.0003082691612377048</v>
      </c>
      <c r="AS28" s="1">
        <f t="shared" si="23"/>
        <v>0.0001101658608570434</v>
      </c>
      <c r="AT28" s="1">
        <f t="shared" si="23"/>
        <v>1.276416494903406E-07</v>
      </c>
      <c r="AU28" s="1">
        <f t="shared" si="24"/>
        <v>0.13679649990493106</v>
      </c>
      <c r="AV28" s="1">
        <f t="shared" si="25"/>
        <v>0.059982811954759074</v>
      </c>
      <c r="AW28" s="1">
        <f t="shared" si="26"/>
        <v>0.034885758094249965</v>
      </c>
      <c r="AX28" s="1">
        <f t="shared" si="27"/>
        <v>0.022803809289997826</v>
      </c>
      <c r="AY28" s="1">
        <f t="shared" si="28"/>
        <v>0.015877382173415618</v>
      </c>
      <c r="AZ28" s="1">
        <f t="shared" si="29"/>
        <v>0.011482665389155499</v>
      </c>
      <c r="BA28" s="1">
        <f t="shared" si="30"/>
        <v>0.008502921131517705</v>
      </c>
      <c r="BB28" s="1">
        <f t="shared" si="31"/>
        <v>0.006386441909363179</v>
      </c>
      <c r="BC28" s="1">
        <f t="shared" si="32"/>
        <v>0.004831345750074042</v>
      </c>
      <c r="BD28" s="1">
        <f t="shared" si="33"/>
        <v>0.00365962140641145</v>
      </c>
      <c r="BE28" s="1">
        <f t="shared" si="34"/>
        <v>0.0027601288449726788</v>
      </c>
      <c r="BF28" s="1">
        <f t="shared" si="35"/>
        <v>0.0020602986757623123</v>
      </c>
      <c r="BG28" s="1">
        <f t="shared" si="36"/>
        <v>0.0015110355978897848</v>
      </c>
      <c r="BH28" s="1">
        <f t="shared" si="37"/>
        <v>0.001078199409257594</v>
      </c>
      <c r="BI28" s="1">
        <f t="shared" si="38"/>
        <v>0.0007375915215537442</v>
      </c>
      <c r="BJ28" s="1">
        <f t="shared" si="39"/>
        <v>0.00047194308398394193</v>
      </c>
      <c r="BK28" s="1">
        <f t="shared" si="40"/>
        <v>0.0002691857807679304</v>
      </c>
      <c r="BL28" s="1">
        <f t="shared" si="41"/>
        <v>0.00012189734920273071</v>
      </c>
      <c r="BM28" s="1">
        <f t="shared" si="42"/>
        <v>1.0521598182939203E-05</v>
      </c>
      <c r="BN28" s="1">
        <f t="shared" si="43"/>
        <v>7.2030191263942E-06</v>
      </c>
      <c r="BO28" s="1">
        <f t="shared" si="44"/>
        <v>4.371335886292114E-06</v>
      </c>
      <c r="BP28" s="1">
        <f t="shared" si="45"/>
        <v>2.0921751104737428E-06</v>
      </c>
      <c r="BQ28" s="1">
        <f t="shared" si="46"/>
        <v>5.459528374073432E-07</v>
      </c>
      <c r="BR28" s="1">
        <f t="shared" si="47"/>
        <v>0.3142442713484095</v>
      </c>
    </row>
    <row r="29" spans="2:70" ht="17.25">
      <c r="B29" s="16">
        <f t="shared" si="48"/>
        <v>1.2</v>
      </c>
      <c r="C29" s="1">
        <f t="shared" si="6"/>
        <v>0.17716501507970706</v>
      </c>
      <c r="D29" s="1">
        <f t="shared" si="7"/>
        <v>0.6406810166383304</v>
      </c>
      <c r="E29" s="1">
        <f t="shared" si="8"/>
        <v>0.1186006335163124</v>
      </c>
      <c r="F29" s="1">
        <f t="shared" si="9"/>
        <v>3.9435271481922407</v>
      </c>
      <c r="G29" s="1">
        <f t="shared" si="10"/>
        <v>2.526542982444661</v>
      </c>
      <c r="H29" s="1">
        <f t="shared" si="11"/>
        <v>0.5822125388972603</v>
      </c>
      <c r="I29" s="1">
        <f t="shared" si="12"/>
        <v>0.30429611738569984</v>
      </c>
      <c r="J29" s="1">
        <f t="shared" si="13"/>
        <v>0.10300657212791423</v>
      </c>
      <c r="K29" s="1">
        <f t="shared" si="14"/>
        <v>0.04459215702387099</v>
      </c>
      <c r="L29" s="1">
        <f t="shared" si="15"/>
        <v>0.024598390191229995</v>
      </c>
      <c r="M29" s="1">
        <f t="shared" si="16"/>
        <v>5.259570782782045E-06</v>
      </c>
      <c r="N29" s="1">
        <f t="shared" si="1"/>
        <v>14.36757177490567</v>
      </c>
      <c r="O29" s="13">
        <f t="shared" si="2"/>
        <v>138.47604909333245</v>
      </c>
      <c r="P29" s="11">
        <f t="shared" si="3"/>
        <v>2.3229318958466556</v>
      </c>
      <c r="Q29" s="11">
        <f t="shared" si="49"/>
        <v>3.854796309195921E-05</v>
      </c>
      <c r="R29" s="1">
        <f t="shared" si="17"/>
        <v>0.3456446021313119</v>
      </c>
      <c r="S29" s="11">
        <f t="shared" si="18"/>
        <v>5.8575302185577995E-06</v>
      </c>
      <c r="T29" s="11">
        <f t="shared" si="19"/>
        <v>1.1117101001339845E-05</v>
      </c>
      <c r="U29" s="11">
        <f t="shared" si="20"/>
        <v>0.4731063235053955</v>
      </c>
      <c r="V29" s="1">
        <f t="shared" si="21"/>
        <v>1.3425153206710683</v>
      </c>
      <c r="W29" s="1">
        <f t="shared" si="50"/>
        <v>3.7545985452720623</v>
      </c>
      <c r="X29" s="1">
        <f t="shared" si="50"/>
        <v>1.631093431962092</v>
      </c>
      <c r="Y29" s="1">
        <f t="shared" si="23"/>
        <v>0.9563938873983732</v>
      </c>
      <c r="Z29" s="1">
        <f t="shared" si="23"/>
        <v>0.6346978373890518</v>
      </c>
      <c r="AA29" s="1">
        <f t="shared" si="23"/>
        <v>0.4500782379753552</v>
      </c>
      <c r="AB29" s="1">
        <f t="shared" si="23"/>
        <v>0.3321055022057897</v>
      </c>
      <c r="AC29" s="1">
        <f t="shared" si="23"/>
        <v>0.25124432587315365</v>
      </c>
      <c r="AD29" s="1">
        <f t="shared" si="23"/>
        <v>0.19303156041230327</v>
      </c>
      <c r="AE29" s="1">
        <f t="shared" si="23"/>
        <v>0.14959055096146417</v>
      </c>
      <c r="AF29" s="1">
        <f t="shared" si="23"/>
        <v>0.11628519886385079</v>
      </c>
      <c r="AG29" s="1">
        <f t="shared" si="23"/>
        <v>0.09022033581041972</v>
      </c>
      <c r="AH29" s="1">
        <f t="shared" si="23"/>
        <v>0.06950221361306079</v>
      </c>
      <c r="AI29" s="1">
        <f t="shared" si="23"/>
        <v>0.052845834326078936</v>
      </c>
      <c r="AJ29" s="1">
        <f t="shared" si="23"/>
        <v>0.039353964092364656</v>
      </c>
      <c r="AK29" s="1">
        <f t="shared" si="23"/>
        <v>0.028387141145682127</v>
      </c>
      <c r="AL29" s="1">
        <f t="shared" si="23"/>
        <v>0.019485206377739765</v>
      </c>
      <c r="AM29" s="1">
        <f t="shared" si="23"/>
        <v>0.01232085807881775</v>
      </c>
      <c r="AN29" s="1">
        <f t="shared" si="23"/>
        <v>0.0066782328140021045</v>
      </c>
      <c r="AO29" s="1">
        <f t="shared" si="23"/>
        <v>0.0024689927189395717</v>
      </c>
      <c r="AP29" s="1">
        <f t="shared" si="23"/>
        <v>0.0018071312248658464</v>
      </c>
      <c r="AQ29" s="1">
        <f t="shared" si="23"/>
        <v>0.0012130697620449085</v>
      </c>
      <c r="AR29" s="1">
        <f t="shared" si="23"/>
        <v>0.0006952850612199832</v>
      </c>
      <c r="AS29" s="1">
        <f t="shared" si="23"/>
        <v>0.0002708699610711149</v>
      </c>
      <c r="AT29" s="1">
        <f t="shared" si="23"/>
        <v>5.528016713343087E-07</v>
      </c>
      <c r="AU29" s="1">
        <f t="shared" si="24"/>
        <v>0.13464229943085387</v>
      </c>
      <c r="AV29" s="1">
        <f t="shared" si="25"/>
        <v>0.06468718298401165</v>
      </c>
      <c r="AW29" s="1">
        <f t="shared" si="26"/>
        <v>0.039777293119685614</v>
      </c>
      <c r="AX29" s="1">
        <f t="shared" si="27"/>
        <v>0.027119401884110165</v>
      </c>
      <c r="AY29" s="1">
        <f t="shared" si="28"/>
        <v>0.01955459350452862</v>
      </c>
      <c r="AZ29" s="1">
        <f t="shared" si="29"/>
        <v>0.01458374570197358</v>
      </c>
      <c r="BA29" s="1">
        <f t="shared" si="30"/>
        <v>0.01110689715713642</v>
      </c>
      <c r="BB29" s="1">
        <f t="shared" si="31"/>
        <v>0.008565552784344184</v>
      </c>
      <c r="BC29" s="1">
        <f t="shared" si="32"/>
        <v>0.006646893745632873</v>
      </c>
      <c r="BD29" s="1">
        <f t="shared" si="33"/>
        <v>0.005162638366856762</v>
      </c>
      <c r="BE29" s="1">
        <f t="shared" si="34"/>
        <v>0.0039930637355870165</v>
      </c>
      <c r="BF29" s="1">
        <f t="shared" si="35"/>
        <v>0.003058701198478496</v>
      </c>
      <c r="BG29" s="1">
        <f t="shared" si="36"/>
        <v>0.0023049949604610916</v>
      </c>
      <c r="BH29" s="1">
        <f t="shared" si="37"/>
        <v>0.001693527630951171</v>
      </c>
      <c r="BI29" s="1">
        <f t="shared" si="38"/>
        <v>0.0011968086880855483</v>
      </c>
      <c r="BJ29" s="1">
        <f t="shared" si="39"/>
        <v>0.0007951516114139386</v>
      </c>
      <c r="BK29" s="1">
        <f t="shared" si="40"/>
        <v>0.00047497727232049684</v>
      </c>
      <c r="BL29" s="1">
        <f t="shared" si="41"/>
        <v>0.0002286806383235421</v>
      </c>
      <c r="BM29" s="1">
        <f t="shared" si="42"/>
        <v>2.1380619719026396E-05</v>
      </c>
      <c r="BN29" s="1">
        <f t="shared" si="43"/>
        <v>1.510100493455379E-05</v>
      </c>
      <c r="BO29" s="1">
        <f t="shared" si="44"/>
        <v>9.541774116324467E-06</v>
      </c>
      <c r="BP29" s="1">
        <f t="shared" si="45"/>
        <v>4.830775111455495E-06</v>
      </c>
      <c r="BQ29" s="1">
        <f t="shared" si="46"/>
        <v>1.3435426755751263E-06</v>
      </c>
      <c r="BR29" s="1">
        <f t="shared" si="47"/>
        <v>0.3456446021313119</v>
      </c>
    </row>
    <row r="30" spans="2:70" ht="17.25">
      <c r="B30" s="16">
        <f t="shared" si="48"/>
        <v>1.3</v>
      </c>
      <c r="C30" s="1">
        <f t="shared" si="6"/>
        <v>0.19192876633634928</v>
      </c>
      <c r="D30" s="1">
        <f t="shared" si="7"/>
        <v>0.6757975197818837</v>
      </c>
      <c r="E30" s="1">
        <f t="shared" si="8"/>
        <v>0.13605530642341634</v>
      </c>
      <c r="F30" s="1">
        <f t="shared" si="9"/>
        <v>4.5990014038448885</v>
      </c>
      <c r="G30" s="1">
        <f t="shared" si="10"/>
        <v>3.107993742191777</v>
      </c>
      <c r="H30" s="1">
        <f t="shared" si="11"/>
        <v>0.6789851275531446</v>
      </c>
      <c r="I30" s="1">
        <f t="shared" si="12"/>
        <v>0.2826700593988002</v>
      </c>
      <c r="J30" s="1">
        <f t="shared" si="13"/>
        <v>0.10061212432505175</v>
      </c>
      <c r="K30" s="1">
        <f t="shared" si="14"/>
        <v>0.048155714861959256</v>
      </c>
      <c r="L30" s="1">
        <f t="shared" si="15"/>
        <v>0.025602816251342354</v>
      </c>
      <c r="M30" s="1">
        <f t="shared" si="16"/>
        <v>6.3815543107104375E-06</v>
      </c>
      <c r="N30" s="1">
        <f t="shared" si="1"/>
        <v>14.033589195365302</v>
      </c>
      <c r="O30" s="13">
        <f t="shared" si="2"/>
        <v>184.57466453467515</v>
      </c>
      <c r="P30" s="11">
        <f t="shared" si="3"/>
        <v>2.4177841733296934</v>
      </c>
      <c r="Q30" s="11">
        <f t="shared" si="49"/>
        <v>4.7086275345111724E-05</v>
      </c>
      <c r="R30" s="1">
        <f t="shared" si="17"/>
        <v>0.3779092318515539</v>
      </c>
      <c r="S30" s="11">
        <f t="shared" si="18"/>
        <v>9.852200109966981E-06</v>
      </c>
      <c r="T30" s="11">
        <f t="shared" si="19"/>
        <v>1.6233754420677417E-05</v>
      </c>
      <c r="U30" s="11">
        <f t="shared" si="20"/>
        <v>0.39310403159616986</v>
      </c>
      <c r="V30" s="1">
        <f t="shared" si="21"/>
        <v>1.2431682129094055</v>
      </c>
      <c r="W30" s="1">
        <f t="shared" si="50"/>
        <v>3.621005513455915</v>
      </c>
      <c r="X30" s="1">
        <f t="shared" si="50"/>
        <v>1.7040158836488544</v>
      </c>
      <c r="Y30" s="1">
        <f t="shared" si="23"/>
        <v>1.0488515173896127</v>
      </c>
      <c r="Z30" s="1">
        <f t="shared" si="23"/>
        <v>0.7217048363116839</v>
      </c>
      <c r="AA30" s="1">
        <f t="shared" si="23"/>
        <v>0.527199096999086</v>
      </c>
      <c r="AB30" s="1">
        <f t="shared" si="23"/>
        <v>0.3991814804889788</v>
      </c>
      <c r="AC30" s="1">
        <f t="shared" si="23"/>
        <v>0.3091211778077909</v>
      </c>
      <c r="AD30" s="1">
        <f t="shared" si="23"/>
        <v>0.24272479521525708</v>
      </c>
      <c r="AE30" s="1">
        <f t="shared" si="23"/>
        <v>0.19205578418789945</v>
      </c>
      <c r="AF30" s="1">
        <f t="shared" si="23"/>
        <v>0.15236289182276644</v>
      </c>
      <c r="AG30" s="1">
        <f t="shared" si="23"/>
        <v>0.12063380530872983</v>
      </c>
      <c r="AH30" s="1">
        <f t="shared" si="23"/>
        <v>0.09487104138163505</v>
      </c>
      <c r="AI30" s="1">
        <f t="shared" si="23"/>
        <v>0.0737022883084328</v>
      </c>
      <c r="AJ30" s="1">
        <f t="shared" si="23"/>
        <v>0.05615854168440406</v>
      </c>
      <c r="AK30" s="1">
        <f t="shared" si="23"/>
        <v>0.041542354969859766</v>
      </c>
      <c r="AL30" s="1">
        <f t="shared" si="23"/>
        <v>0.029347924850344397</v>
      </c>
      <c r="AM30" s="1">
        <f t="shared" si="23"/>
        <v>0.019214312509186635</v>
      </c>
      <c r="AN30" s="1">
        <f t="shared" si="23"/>
        <v>0.010906441525515415</v>
      </c>
      <c r="AO30" s="1">
        <f t="shared" si="23"/>
        <v>0.00434362652209488</v>
      </c>
      <c r="AP30" s="1">
        <f t="shared" si="23"/>
        <v>0.0032539859363210108</v>
      </c>
      <c r="AQ30" s="1">
        <f t="shared" si="23"/>
        <v>0.0022500117105573505</v>
      </c>
      <c r="AR30" s="1">
        <f t="shared" si="23"/>
        <v>0.0013440394220010892</v>
      </c>
      <c r="AS30" s="1">
        <f t="shared" si="23"/>
        <v>0.0005615231870902966</v>
      </c>
      <c r="AT30" s="1">
        <f t="shared" si="23"/>
        <v>1.8126446469020513E-06</v>
      </c>
      <c r="AU30" s="1">
        <f t="shared" si="24"/>
        <v>0.13312553492761922</v>
      </c>
      <c r="AV30" s="1">
        <f t="shared" si="25"/>
        <v>0.0688216850259617</v>
      </c>
      <c r="AW30" s="1">
        <f t="shared" si="26"/>
        <v>0.04426390884253241</v>
      </c>
      <c r="AX30" s="1">
        <f t="shared" si="27"/>
        <v>0.03122259833276924</v>
      </c>
      <c r="AY30" s="1">
        <f t="shared" si="28"/>
        <v>0.02315951443720161</v>
      </c>
      <c r="AZ30" s="1">
        <f t="shared" si="29"/>
        <v>0.01770756645741924</v>
      </c>
      <c r="BA30" s="1">
        <f t="shared" si="30"/>
        <v>0.013796149325576199</v>
      </c>
      <c r="BB30" s="1">
        <f t="shared" si="31"/>
        <v>0.01086951448507891</v>
      </c>
      <c r="BC30" s="1">
        <f t="shared" si="32"/>
        <v>0.008610466900266645</v>
      </c>
      <c r="BD30" s="1">
        <f t="shared" si="33"/>
        <v>0.006824917428287405</v>
      </c>
      <c r="BE30" s="1">
        <f t="shared" si="34"/>
        <v>0.005387621167259127</v>
      </c>
      <c r="BF30" s="1">
        <f t="shared" si="35"/>
        <v>0.004214333242251699</v>
      </c>
      <c r="BG30" s="1">
        <f t="shared" si="36"/>
        <v>0.0032465207498209242</v>
      </c>
      <c r="BH30" s="1">
        <f t="shared" si="37"/>
        <v>0.0024425224163565976</v>
      </c>
      <c r="BI30" s="1">
        <f t="shared" si="38"/>
        <v>0.0017722569955051055</v>
      </c>
      <c r="BJ30" s="1">
        <f t="shared" si="39"/>
        <v>0.0012140559339882768</v>
      </c>
      <c r="BK30" s="1">
        <f t="shared" si="40"/>
        <v>0.0007530188508675519</v>
      </c>
      <c r="BL30" s="1">
        <f t="shared" si="41"/>
        <v>0.00038125170119025775</v>
      </c>
      <c r="BM30" s="1">
        <f t="shared" si="42"/>
        <v>3.798806229207822E-05</v>
      </c>
      <c r="BN30" s="1">
        <f t="shared" si="43"/>
        <v>2.7519988234391833E-05</v>
      </c>
      <c r="BO30" s="1">
        <f t="shared" si="44"/>
        <v>1.7970255662792216E-05</v>
      </c>
      <c r="BP30" s="1">
        <f t="shared" si="45"/>
        <v>9.527813045456937E-06</v>
      </c>
      <c r="BQ30" s="1">
        <f t="shared" si="46"/>
        <v>2.788512367099139E-06</v>
      </c>
      <c r="BR30" s="1">
        <f t="shared" si="47"/>
        <v>0.3779092318515539</v>
      </c>
    </row>
    <row r="31" spans="2:70" ht="17.25">
      <c r="B31" s="16">
        <f t="shared" si="48"/>
        <v>1.4000000000000001</v>
      </c>
      <c r="C31" s="1">
        <f t="shared" si="6"/>
        <v>0.20669251759299156</v>
      </c>
      <c r="D31" s="1">
        <f t="shared" si="7"/>
        <v>0.7100240331681466</v>
      </c>
      <c r="E31" s="1">
        <f t="shared" si="8"/>
        <v>0.15397058968420602</v>
      </c>
      <c r="F31" s="1">
        <f t="shared" si="9"/>
        <v>5.274803239691146</v>
      </c>
      <c r="G31" s="1">
        <f t="shared" si="10"/>
        <v>3.7452370704139133</v>
      </c>
      <c r="H31" s="1">
        <f t="shared" si="11"/>
        <v>0.7787588295853078</v>
      </c>
      <c r="I31" s="1">
        <f t="shared" si="12"/>
        <v>0.26541274363856154</v>
      </c>
      <c r="J31" s="1">
        <f t="shared" si="13"/>
        <v>0.09870415009654085</v>
      </c>
      <c r="K31" s="1">
        <f t="shared" si="14"/>
        <v>0.05157262003003557</v>
      </c>
      <c r="L31" s="1">
        <f t="shared" si="15"/>
        <v>0.026569298071270158</v>
      </c>
      <c r="M31" s="1">
        <f t="shared" si="16"/>
        <v>7.5885949868205825E-06</v>
      </c>
      <c r="N31" s="1">
        <f t="shared" si="1"/>
        <v>13.767460965811567</v>
      </c>
      <c r="O31" s="13">
        <f t="shared" si="2"/>
        <v>235.47565765456315</v>
      </c>
      <c r="P31" s="11">
        <f t="shared" si="3"/>
        <v>2.509053212840525</v>
      </c>
      <c r="Q31" s="11">
        <f t="shared" si="49"/>
        <v>5.666855937306126E-05</v>
      </c>
      <c r="R31" s="1">
        <f t="shared" si="17"/>
        <v>0.41063369600402966</v>
      </c>
      <c r="S31" s="11">
        <f t="shared" si="18"/>
        <v>1.5825674335389054E-05</v>
      </c>
      <c r="T31" s="11">
        <f t="shared" si="19"/>
        <v>2.3414269322209638E-05</v>
      </c>
      <c r="U31" s="11">
        <f t="shared" si="20"/>
        <v>0.3241012940609857</v>
      </c>
      <c r="V31" s="1">
        <f t="shared" si="21"/>
        <v>1.1608030375701566</v>
      </c>
      <c r="W31" s="1">
        <f t="shared" si="50"/>
        <v>3.514554221634421</v>
      </c>
      <c r="X31" s="1">
        <f t="shared" si="50"/>
        <v>1.7674675617480782</v>
      </c>
      <c r="Y31" s="1">
        <f t="shared" si="23"/>
        <v>1.132617089045724</v>
      </c>
      <c r="Z31" s="1">
        <f t="shared" si="23"/>
        <v>0.8030882784091863</v>
      </c>
      <c r="AA31" s="1">
        <f t="shared" si="23"/>
        <v>0.6012722931528414</v>
      </c>
      <c r="AB31" s="1">
        <f t="shared" si="23"/>
        <v>0.4651150861607097</v>
      </c>
      <c r="AC31" s="1">
        <f t="shared" si="23"/>
        <v>0.3672188519772835</v>
      </c>
      <c r="AD31" s="1">
        <f t="shared" si="23"/>
        <v>0.2935947850711668</v>
      </c>
      <c r="AE31" s="1">
        <f t="shared" si="23"/>
        <v>0.2363494002029145</v>
      </c>
      <c r="AF31" s="1">
        <f t="shared" si="23"/>
        <v>0.1906902115492364</v>
      </c>
      <c r="AG31" s="1">
        <f t="shared" si="23"/>
        <v>0.15354023144575324</v>
      </c>
      <c r="AH31" s="1">
        <f t="shared" si="23"/>
        <v>0.12283549845841221</v>
      </c>
      <c r="AI31" s="1">
        <f t="shared" si="23"/>
        <v>0.09714279593196039</v>
      </c>
      <c r="AJ31" s="1">
        <f t="shared" si="23"/>
        <v>0.07543978523772278</v>
      </c>
      <c r="AK31" s="1">
        <f t="shared" si="23"/>
        <v>0.056983264691586266</v>
      </c>
      <c r="AL31" s="1">
        <f t="shared" si="23"/>
        <v>0.04122865846010275</v>
      </c>
      <c r="AM31" s="1">
        <f t="shared" si="23"/>
        <v>0.027782729331991256</v>
      </c>
      <c r="AN31" s="1">
        <f t="shared" si="23"/>
        <v>0.016384962329150796</v>
      </c>
      <c r="AO31" s="1">
        <f t="shared" si="23"/>
        <v>0.00694069082067395</v>
      </c>
      <c r="AP31" s="1">
        <f t="shared" si="23"/>
        <v>0.005300707842197528</v>
      </c>
      <c r="AQ31" s="1">
        <f t="shared" si="23"/>
        <v>0.003756431760120071</v>
      </c>
      <c r="AR31" s="1">
        <f t="shared" si="23"/>
        <v>0.002322119126212367</v>
      </c>
      <c r="AS31" s="1">
        <f t="shared" si="23"/>
        <v>0.0010280368332877818</v>
      </c>
      <c r="AT31" s="1">
        <f t="shared" si="23"/>
        <v>4.853450788852312E-06</v>
      </c>
      <c r="AU31" s="1">
        <f t="shared" si="24"/>
        <v>0.13205054458456247</v>
      </c>
      <c r="AV31" s="1">
        <f t="shared" si="25"/>
        <v>0.07250211626984508</v>
      </c>
      <c r="AW31" s="1">
        <f t="shared" si="26"/>
        <v>0.04839263418637274</v>
      </c>
      <c r="AX31" s="1">
        <f t="shared" si="27"/>
        <v>0.03510901428905068</v>
      </c>
      <c r="AY31" s="1">
        <f t="shared" si="28"/>
        <v>0.02665968448283877</v>
      </c>
      <c r="AZ31" s="1">
        <f t="shared" si="29"/>
        <v>0.020808348453449824</v>
      </c>
      <c r="BA31" s="1">
        <f t="shared" si="30"/>
        <v>0.016520340926211255</v>
      </c>
      <c r="BB31" s="1">
        <f t="shared" si="31"/>
        <v>0.013248604631852031</v>
      </c>
      <c r="BC31" s="1">
        <f t="shared" si="32"/>
        <v>0.01067599029380377</v>
      </c>
      <c r="BD31" s="1">
        <f t="shared" si="33"/>
        <v>0.008605761074874738</v>
      </c>
      <c r="BE31" s="1">
        <f t="shared" si="34"/>
        <v>0.006909393247604143</v>
      </c>
      <c r="BF31" s="1">
        <f t="shared" si="35"/>
        <v>0.00549945735975932</v>
      </c>
      <c r="BG31" s="1">
        <f t="shared" si="36"/>
        <v>0.004314564529242083</v>
      </c>
      <c r="BH31" s="1">
        <f t="shared" si="37"/>
        <v>0.0033105762482327286</v>
      </c>
      <c r="BI31" s="1">
        <f t="shared" si="38"/>
        <v>0.0024552980787922274</v>
      </c>
      <c r="BJ31" s="1">
        <f t="shared" si="39"/>
        <v>0.0017252846948023518</v>
      </c>
      <c r="BK31" s="1">
        <f t="shared" si="40"/>
        <v>0.0011041922915285523</v>
      </c>
      <c r="BL31" s="1">
        <f t="shared" si="41"/>
        <v>0.0005831413287456192</v>
      </c>
      <c r="BM31" s="1">
        <f t="shared" si="42"/>
        <v>6.120699331435541E-05</v>
      </c>
      <c r="BN31" s="1">
        <f t="shared" si="43"/>
        <v>4.5285698011588034E-05</v>
      </c>
      <c r="BO31" s="1">
        <f t="shared" si="44"/>
        <v>3.039275443166222E-05</v>
      </c>
      <c r="BP31" s="1">
        <f t="shared" si="45"/>
        <v>1.675077979750076E-05</v>
      </c>
      <c r="BQ31" s="1">
        <f t="shared" si="46"/>
        <v>5.11280690617935E-06</v>
      </c>
      <c r="BR31" s="1">
        <f t="shared" si="47"/>
        <v>0.41063369600402966</v>
      </c>
    </row>
    <row r="32" spans="2:70" ht="17.25">
      <c r="B32" s="16">
        <f t="shared" si="48"/>
        <v>1.5000000000000002</v>
      </c>
      <c r="C32" s="1">
        <f t="shared" si="6"/>
        <v>0.22145626884963382</v>
      </c>
      <c r="D32" s="1">
        <f t="shared" si="7"/>
        <v>0.7434444631840395</v>
      </c>
      <c r="E32" s="1">
        <f t="shared" si="8"/>
        <v>0.17231344321420758</v>
      </c>
      <c r="F32" s="1">
        <f t="shared" si="9"/>
        <v>5.9689280141453445</v>
      </c>
      <c r="G32" s="1">
        <f aca="true" t="shared" si="51" ref="G32:G37">D32*F32</f>
        <v>4.43756648326046</v>
      </c>
      <c r="H32" s="1">
        <f t="shared" si="11"/>
        <v>0.8812376846964547</v>
      </c>
      <c r="I32" s="1">
        <f t="shared" si="12"/>
        <v>0.25130140562011394</v>
      </c>
      <c r="J32" s="1">
        <f t="shared" si="13"/>
        <v>0.097155156806414</v>
      </c>
      <c r="K32" s="1">
        <f t="shared" si="14"/>
        <v>0.05486106495762331</v>
      </c>
      <c r="L32" s="1">
        <f t="shared" si="15"/>
        <v>0.02750183630232716</v>
      </c>
      <c r="M32" s="1">
        <f t="shared" si="16"/>
        <v>8.877124961302353E-06</v>
      </c>
      <c r="N32" s="1">
        <f t="shared" si="1"/>
        <v>13.551404147154328</v>
      </c>
      <c r="O32" s="13">
        <f t="shared" si="2"/>
        <v>290.51529981441666</v>
      </c>
      <c r="P32" s="11">
        <f t="shared" si="3"/>
        <v>2.597116813107792</v>
      </c>
      <c r="Q32" s="11">
        <f t="shared" si="49"/>
        <v>6.733405781018019E-05</v>
      </c>
      <c r="R32" s="1">
        <f t="shared" si="17"/>
        <v>0.443537840329502</v>
      </c>
      <c r="S32" s="11">
        <f t="shared" si="18"/>
        <v>2.444927856800428E-05</v>
      </c>
      <c r="T32" s="11">
        <f t="shared" si="19"/>
        <v>3.3326403529306635E-05</v>
      </c>
      <c r="U32" s="11">
        <f t="shared" si="20"/>
        <v>0.2663691254142071</v>
      </c>
      <c r="V32" s="1">
        <f t="shared" si="21"/>
        <v>1.09122296536823</v>
      </c>
      <c r="W32" s="1">
        <f t="shared" si="50"/>
        <v>3.428131494171525</v>
      </c>
      <c r="X32" s="1">
        <f t="shared" si="50"/>
        <v>1.8235514718536383</v>
      </c>
      <c r="Y32" s="1">
        <f t="shared" si="23"/>
        <v>1.2090077023915524</v>
      </c>
      <c r="Z32" s="1">
        <f t="shared" si="23"/>
        <v>0.8792672460756328</v>
      </c>
      <c r="AA32" s="1">
        <f t="shared" si="23"/>
        <v>0.6721425926013741</v>
      </c>
      <c r="AB32" s="1">
        <f t="shared" si="23"/>
        <v>0.5294206216952313</v>
      </c>
      <c r="AC32" s="1">
        <f t="shared" si="23"/>
        <v>0.4248796297318859</v>
      </c>
      <c r="AD32" s="1">
        <f t="shared" si="23"/>
        <v>0.3449131834472273</v>
      </c>
      <c r="AE32" s="1">
        <f t="shared" si="23"/>
        <v>0.281737719045372</v>
      </c>
      <c r="AF32" s="1">
        <f t="shared" si="23"/>
        <v>0.23057044328771614</v>
      </c>
      <c r="AG32" s="1">
        <f t="shared" si="23"/>
        <v>0.18830719144395278</v>
      </c>
      <c r="AH32" s="1">
        <f t="shared" si="23"/>
        <v>0.1528447613871858</v>
      </c>
      <c r="AI32" s="1">
        <f t="shared" si="23"/>
        <v>0.1227085039928992</v>
      </c>
      <c r="AJ32" s="1">
        <f t="shared" si="23"/>
        <v>0.0968361458954789</v>
      </c>
      <c r="AK32" s="1">
        <f t="shared" si="23"/>
        <v>0.0744470072603398</v>
      </c>
      <c r="AL32" s="1">
        <f t="shared" si="23"/>
        <v>0.05496106637194179</v>
      </c>
      <c r="AM32" s="1">
        <f t="shared" si="23"/>
        <v>0.037950183146546156</v>
      </c>
      <c r="AN32" s="1">
        <f t="shared" si="23"/>
        <v>0.0231162602964167</v>
      </c>
      <c r="AO32" s="1">
        <f t="shared" si="23"/>
        <v>0.010315827092543712</v>
      </c>
      <c r="AP32" s="1">
        <f t="shared" si="23"/>
        <v>0.00800763347121557</v>
      </c>
      <c r="AQ32" s="1">
        <f t="shared" si="23"/>
        <v>0.005793774888601737</v>
      </c>
      <c r="AR32" s="1">
        <f t="shared" si="23"/>
        <v>0.0036867378881552107</v>
      </c>
      <c r="AS32" s="1">
        <f t="shared" si="23"/>
        <v>0.0017140680964054785</v>
      </c>
      <c r="AT32" s="1">
        <f t="shared" si="23"/>
        <v>1.1156803827668927E-05</v>
      </c>
      <c r="AU32" s="1">
        <f t="shared" si="24"/>
        <v>0.1312920741506291</v>
      </c>
      <c r="AV32" s="1">
        <f t="shared" si="25"/>
        <v>0.0758139793561298</v>
      </c>
      <c r="AW32" s="1">
        <f t="shared" si="26"/>
        <v>0.05220687371167961</v>
      </c>
      <c r="AX32" s="1">
        <f t="shared" si="27"/>
        <v>0.03878524596692517</v>
      </c>
      <c r="AY32" s="1">
        <f t="shared" si="28"/>
        <v>0.03003908035741513</v>
      </c>
      <c r="AZ32" s="1">
        <f t="shared" si="29"/>
        <v>0.023857506285677926</v>
      </c>
      <c r="BA32" s="1">
        <f t="shared" si="30"/>
        <v>0.019244820329477826</v>
      </c>
      <c r="BB32" s="1">
        <f t="shared" si="31"/>
        <v>0.015666272562314978</v>
      </c>
      <c r="BC32" s="1">
        <f t="shared" si="32"/>
        <v>0.012807704058327199</v>
      </c>
      <c r="BD32" s="1">
        <f t="shared" si="33"/>
        <v>0.01047194086829172</v>
      </c>
      <c r="BE32" s="1">
        <f t="shared" si="34"/>
        <v>0.008528798820778472</v>
      </c>
      <c r="BF32" s="1">
        <f t="shared" si="35"/>
        <v>0.006888831634502131</v>
      </c>
      <c r="BG32" s="1">
        <f t="shared" si="36"/>
        <v>0.005488616247209458</v>
      </c>
      <c r="BH32" s="1">
        <f t="shared" si="37"/>
        <v>0.004282078828895471</v>
      </c>
      <c r="BI32" s="1">
        <f t="shared" si="38"/>
        <v>0.003235201840807043</v>
      </c>
      <c r="BJ32" s="1">
        <f t="shared" si="39"/>
        <v>0.0023227812379622006</v>
      </c>
      <c r="BK32" s="1">
        <f t="shared" si="40"/>
        <v>0.001526661086074073</v>
      </c>
      <c r="BL32" s="1">
        <f t="shared" si="41"/>
        <v>0.000835802184724011</v>
      </c>
      <c r="BM32" s="1">
        <f t="shared" si="42"/>
        <v>9.161730281879344E-05</v>
      </c>
      <c r="BN32" s="1">
        <f t="shared" si="43"/>
        <v>6.90070417990866E-05</v>
      </c>
      <c r="BO32" s="1">
        <f t="shared" si="44"/>
        <v>4.7402563883784776E-05</v>
      </c>
      <c r="BP32" s="1">
        <f t="shared" si="45"/>
        <v>2.700402992280347E-05</v>
      </c>
      <c r="BQ32" s="1">
        <f t="shared" si="46"/>
        <v>8.539863256154096E-06</v>
      </c>
      <c r="BR32" s="1">
        <f t="shared" si="47"/>
        <v>0.443537840329502</v>
      </c>
    </row>
    <row r="33" spans="2:70" ht="17.25">
      <c r="B33" s="16">
        <f t="shared" si="48"/>
        <v>1.6000000000000003</v>
      </c>
      <c r="C33" s="1">
        <f t="shared" si="6"/>
        <v>0.2362200201062761</v>
      </c>
      <c r="D33" s="1">
        <f t="shared" si="7"/>
        <v>0.7761297791800942</v>
      </c>
      <c r="E33" s="1">
        <f t="shared" si="8"/>
        <v>0.19105588143555782</v>
      </c>
      <c r="F33" s="1">
        <f t="shared" si="9"/>
        <v>6.679742096415017</v>
      </c>
      <c r="G33" s="1">
        <f t="shared" si="51"/>
        <v>5.184346758270567</v>
      </c>
      <c r="H33" s="1">
        <f t="shared" si="11"/>
        <v>0.9861805076999337</v>
      </c>
      <c r="I33" s="1">
        <f t="shared" si="12"/>
        <v>0.23953020594293783</v>
      </c>
      <c r="J33" s="1">
        <f t="shared" si="13"/>
        <v>0.09587822736926077</v>
      </c>
      <c r="K33" s="1">
        <f t="shared" si="14"/>
        <v>0.05803579133813659</v>
      </c>
      <c r="L33" s="1">
        <f t="shared" si="15"/>
        <v>0.02840377439707618</v>
      </c>
      <c r="M33" s="1">
        <f t="shared" si="16"/>
        <v>1.0243984853679481E-05</v>
      </c>
      <c r="N33" s="1">
        <f t="shared" si="1"/>
        <v>13.373295362823498</v>
      </c>
      <c r="O33" s="13">
        <f t="shared" si="2"/>
        <v>349.11863232107487</v>
      </c>
      <c r="P33" s="11">
        <f t="shared" si="3"/>
        <v>2.682290710752469</v>
      </c>
      <c r="Q33" s="11">
        <f t="shared" si="49"/>
        <v>7.912059227248605E-05</v>
      </c>
      <c r="R33" s="1">
        <f t="shared" si="17"/>
        <v>0.4764231711725301</v>
      </c>
      <c r="S33" s="11">
        <f t="shared" si="18"/>
        <v>3.653238443624146E-05</v>
      </c>
      <c r="T33" s="11">
        <f t="shared" si="19"/>
        <v>4.677636928992094E-05</v>
      </c>
      <c r="U33" s="11">
        <f t="shared" si="20"/>
        <v>0.21899914442241214</v>
      </c>
      <c r="V33" s="1">
        <f t="shared" si="21"/>
        <v>1.031529899153417</v>
      </c>
      <c r="W33" s="1">
        <f t="shared" si="50"/>
        <v>3.356887980439193</v>
      </c>
      <c r="X33" s="1">
        <f t="shared" si="50"/>
        <v>1.873768354985825</v>
      </c>
      <c r="Y33" s="1">
        <f t="shared" si="23"/>
        <v>1.2790982749292388</v>
      </c>
      <c r="Z33" s="1">
        <f t="shared" si="23"/>
        <v>0.950692635340771</v>
      </c>
      <c r="AA33" s="1">
        <f t="shared" si="23"/>
        <v>0.7398224084638055</v>
      </c>
      <c r="AB33" s="1">
        <f t="shared" si="23"/>
        <v>0.5918336278011175</v>
      </c>
      <c r="AC33" s="1">
        <f t="shared" si="23"/>
        <v>0.4816754361063007</v>
      </c>
      <c r="AD33" s="1">
        <f t="shared" si="23"/>
        <v>0.39616545147764287</v>
      </c>
      <c r="AE33" s="1">
        <f t="shared" si="23"/>
        <v>0.32767259134857873</v>
      </c>
      <c r="AF33" s="1">
        <f t="shared" si="23"/>
        <v>0.27145848747908063</v>
      </c>
      <c r="AG33" s="1">
        <f t="shared" si="23"/>
        <v>0.2244183609263942</v>
      </c>
      <c r="AH33" s="1">
        <f t="shared" si="23"/>
        <v>0.1844294679750156</v>
      </c>
      <c r="AI33" s="1">
        <f t="shared" si="23"/>
        <v>0.14998986803711306</v>
      </c>
      <c r="AJ33" s="1">
        <f t="shared" si="23"/>
        <v>0.12000684926819798</v>
      </c>
      <c r="AK33" s="1">
        <f t="shared" si="23"/>
        <v>0.093667507930409</v>
      </c>
      <c r="AL33" s="1">
        <f t="shared" si="23"/>
        <v>0.07035710214522665</v>
      </c>
      <c r="AM33" s="1">
        <f t="shared" si="23"/>
        <v>0.04960725234265571</v>
      </c>
      <c r="AN33" s="1">
        <f t="shared" si="23"/>
        <v>0.031066141078316296</v>
      </c>
      <c r="AO33" s="1">
        <f t="shared" si="23"/>
        <v>0.014497291403569907</v>
      </c>
      <c r="AP33" s="1">
        <f t="shared" si="23"/>
        <v>0.01141172699251529</v>
      </c>
      <c r="AQ33" s="1">
        <f t="shared" si="23"/>
        <v>0.008405109478826563</v>
      </c>
      <c r="AR33" s="1">
        <f t="shared" si="23"/>
        <v>0.005482885526209365</v>
      </c>
      <c r="AS33" s="1">
        <f t="shared" si="23"/>
        <v>0.002658491764913184</v>
      </c>
      <c r="AT33" s="1">
        <f t="shared" si="23"/>
        <v>2.279285299220694E-05</v>
      </c>
      <c r="AU33" s="1">
        <f t="shared" si="24"/>
        <v>0.13076640838562545</v>
      </c>
      <c r="AV33" s="1">
        <f t="shared" si="25"/>
        <v>0.07882166574787662</v>
      </c>
      <c r="AW33" s="1">
        <f t="shared" si="26"/>
        <v>0.05574477275675024</v>
      </c>
      <c r="AX33" s="1">
        <f t="shared" si="27"/>
        <v>0.0422628760951144</v>
      </c>
      <c r="AY33" s="1">
        <f t="shared" si="28"/>
        <v>0.03329140090662307</v>
      </c>
      <c r="AZ33" s="1">
        <f t="shared" si="29"/>
        <v>0.026837726597685446</v>
      </c>
      <c r="BA33" s="1">
        <f t="shared" si="30"/>
        <v>0.021946022189598586</v>
      </c>
      <c r="BB33" s="1">
        <f t="shared" si="31"/>
        <v>0.018095951070655536</v>
      </c>
      <c r="BC33" s="1">
        <f t="shared" si="32"/>
        <v>0.01497827697069148</v>
      </c>
      <c r="BD33" s="1">
        <f t="shared" si="33"/>
        <v>0.012396921210136868</v>
      </c>
      <c r="BE33" s="1">
        <f t="shared" si="34"/>
        <v>0.010221195722535254</v>
      </c>
      <c r="BF33" s="1">
        <f t="shared" si="35"/>
        <v>0.008360483400303225</v>
      </c>
      <c r="BG33" s="1">
        <f t="shared" si="36"/>
        <v>0.006749917932632782</v>
      </c>
      <c r="BH33" s="1">
        <f t="shared" si="37"/>
        <v>0.005341858929965179</v>
      </c>
      <c r="BI33" s="1">
        <f t="shared" si="38"/>
        <v>0.004100615251890895</v>
      </c>
      <c r="BJ33" s="1">
        <f t="shared" si="39"/>
        <v>0.002999108862197062</v>
      </c>
      <c r="BK33" s="1">
        <f t="shared" si="40"/>
        <v>0.002016834835524302</v>
      </c>
      <c r="BL33" s="1">
        <f t="shared" si="41"/>
        <v>0.001139085812047156</v>
      </c>
      <c r="BM33" s="1">
        <f t="shared" si="42"/>
        <v>0.0001295450919804218</v>
      </c>
      <c r="BN33" s="1">
        <f t="shared" si="43"/>
        <v>9.908418235670935E-05</v>
      </c>
      <c r="BO33" s="1">
        <f t="shared" si="44"/>
        <v>6.943997502517969E-05</v>
      </c>
      <c r="BP33" s="1">
        <f t="shared" si="45"/>
        <v>4.070688645561278E-05</v>
      </c>
      <c r="BQ33" s="1">
        <f t="shared" si="46"/>
        <v>1.3272358858631712E-05</v>
      </c>
      <c r="BR33" s="1">
        <f t="shared" si="47"/>
        <v>0.4764231711725301</v>
      </c>
    </row>
    <row r="34" spans="2:70" ht="17.25">
      <c r="B34" s="16">
        <f t="shared" si="48"/>
        <v>1.7000000000000004</v>
      </c>
      <c r="C34" s="1">
        <f t="shared" si="6"/>
        <v>0.25098377136291833</v>
      </c>
      <c r="D34" s="1">
        <f t="shared" si="7"/>
        <v>0.8081406878219362</v>
      </c>
      <c r="E34" s="1">
        <f t="shared" si="8"/>
        <v>0.2101738545064738</v>
      </c>
      <c r="F34" s="1">
        <f t="shared" si="9"/>
        <v>7.405890629155344</v>
      </c>
      <c r="G34" s="1">
        <f t="shared" si="51"/>
        <v>5.985001546979631</v>
      </c>
      <c r="H34" s="1">
        <f t="shared" si="11"/>
        <v>1.093387270827473</v>
      </c>
      <c r="I34" s="1">
        <f t="shared" si="12"/>
        <v>0.22954700320680924</v>
      </c>
      <c r="J34" s="1">
        <f t="shared" si="13"/>
        <v>0.09481211229371733</v>
      </c>
      <c r="K34" s="1">
        <f t="shared" si="14"/>
        <v>0.06110893433452686</v>
      </c>
      <c r="L34" s="1">
        <f t="shared" si="15"/>
        <v>0.029277940501339916</v>
      </c>
      <c r="M34" s="1">
        <f t="shared" si="16"/>
        <v>1.1686352028581703E-05</v>
      </c>
      <c r="N34" s="1">
        <f t="shared" si="1"/>
        <v>13.224591405864732</v>
      </c>
      <c r="O34" s="13">
        <f t="shared" si="2"/>
        <v>410.79310925449863</v>
      </c>
      <c r="P34" s="11">
        <f t="shared" si="3"/>
        <v>2.764841979761374</v>
      </c>
      <c r="Q34" s="11">
        <f t="shared" si="49"/>
        <v>9.206469792833137E-05</v>
      </c>
      <c r="R34" s="1">
        <f t="shared" si="17"/>
        <v>0.509147112498324</v>
      </c>
      <c r="S34" s="11">
        <f t="shared" si="18"/>
        <v>5.303449412096552E-05</v>
      </c>
      <c r="T34" s="11">
        <f t="shared" si="19"/>
        <v>6.472084614954723E-05</v>
      </c>
      <c r="U34" s="11">
        <f t="shared" si="20"/>
        <v>0.18056550128498988</v>
      </c>
      <c r="V34" s="1">
        <f t="shared" si="21"/>
        <v>0.9796546877842114</v>
      </c>
      <c r="W34" s="1">
        <f t="shared" si="50"/>
        <v>3.297406397655687</v>
      </c>
      <c r="X34" s="1">
        <f t="shared" si="50"/>
        <v>1.919218114664459</v>
      </c>
      <c r="Y34" s="1">
        <f t="shared" si="23"/>
        <v>1.343765696309162</v>
      </c>
      <c r="Z34" s="1">
        <f t="shared" si="23"/>
        <v>1.0178014690709352</v>
      </c>
      <c r="AA34" s="1">
        <f t="shared" si="23"/>
        <v>0.8044135778870459</v>
      </c>
      <c r="AB34" s="1">
        <f t="shared" si="23"/>
        <v>0.6522285852237752</v>
      </c>
      <c r="AC34" s="1">
        <f t="shared" si="23"/>
        <v>0.5373344537098345</v>
      </c>
      <c r="AD34" s="1">
        <f t="shared" si="23"/>
        <v>0.4469916621952148</v>
      </c>
      <c r="AE34" s="1">
        <f t="shared" si="23"/>
        <v>0.37374780312107153</v>
      </c>
      <c r="AF34" s="1">
        <f t="shared" si="23"/>
        <v>0.31293231099792956</v>
      </c>
      <c r="AG34" s="1">
        <f t="shared" si="23"/>
        <v>0.2614584576797812</v>
      </c>
      <c r="AH34" s="1">
        <f t="shared" si="23"/>
        <v>0.21719809560918948</v>
      </c>
      <c r="AI34" s="1">
        <f t="shared" si="23"/>
        <v>0.1786321559070292</v>
      </c>
      <c r="AJ34" s="1">
        <f t="shared" si="23"/>
        <v>0.14464408420096309</v>
      </c>
      <c r="AK34" s="1">
        <f t="shared" si="23"/>
        <v>0.11439182774135681</v>
      </c>
      <c r="AL34" s="1">
        <f t="shared" si="23"/>
        <v>0.08722490184178604</v>
      </c>
      <c r="AM34" s="1">
        <f t="shared" si="23"/>
        <v>0.06262769669203093</v>
      </c>
      <c r="AN34" s="1">
        <f t="shared" si="23"/>
        <v>0.04017627125909702</v>
      </c>
      <c r="AO34" s="1">
        <f t="shared" si="23"/>
        <v>0.01949122283937429</v>
      </c>
      <c r="AP34" s="1">
        <f t="shared" si="23"/>
        <v>0.015530076460493212</v>
      </c>
      <c r="AQ34" s="1">
        <f t="shared" si="23"/>
        <v>0.011616814522144244</v>
      </c>
      <c r="AR34" s="1">
        <f t="shared" si="23"/>
        <v>0.007743287445133358</v>
      </c>
      <c r="AS34" s="1">
        <f t="shared" si="23"/>
        <v>0.0038940617352946115</v>
      </c>
      <c r="AT34" s="1">
        <f t="shared" si="23"/>
        <v>4.241771182985361E-05</v>
      </c>
      <c r="AU34" s="1">
        <f t="shared" si="24"/>
        <v>0.13041561280800365</v>
      </c>
      <c r="AV34" s="1">
        <f t="shared" si="25"/>
        <v>0.08157459527434055</v>
      </c>
      <c r="AW34" s="1">
        <f t="shared" si="26"/>
        <v>0.05903917913450241</v>
      </c>
      <c r="AX34" s="1">
        <f t="shared" si="27"/>
        <v>0.045555376173949516</v>
      </c>
      <c r="AY34" s="1">
        <f t="shared" si="28"/>
        <v>0.03641605407777052</v>
      </c>
      <c r="AZ34" s="1">
        <f t="shared" si="29"/>
        <v>0.02973907597334024</v>
      </c>
      <c r="BA34" s="1">
        <f t="shared" si="30"/>
        <v>0.024608152897626225</v>
      </c>
      <c r="BB34" s="1">
        <f t="shared" si="31"/>
        <v>0.020518486632907153</v>
      </c>
      <c r="BC34" s="1">
        <f t="shared" si="32"/>
        <v>0.017167002852975025</v>
      </c>
      <c r="BD34" s="1">
        <f t="shared" si="33"/>
        <v>0.014359769216942765</v>
      </c>
      <c r="BE34" s="1">
        <f t="shared" si="34"/>
        <v>0.01196641383222428</v>
      </c>
      <c r="BF34" s="1">
        <f t="shared" si="35"/>
        <v>0.009895756287905474</v>
      </c>
      <c r="BG34" s="1">
        <f t="shared" si="36"/>
        <v>0.008081906002699814</v>
      </c>
      <c r="BH34" s="1">
        <f t="shared" si="37"/>
        <v>0.006475897798558003</v>
      </c>
      <c r="BI34" s="1">
        <f t="shared" si="38"/>
        <v>0.005040418239578576</v>
      </c>
      <c r="BJ34" s="1">
        <f t="shared" si="39"/>
        <v>0.0037463149633454275</v>
      </c>
      <c r="BK34" s="1">
        <f t="shared" si="40"/>
        <v>0.002570099198778201</v>
      </c>
      <c r="BL34" s="1">
        <f t="shared" si="41"/>
        <v>0.0014916873524617842</v>
      </c>
      <c r="BM34" s="1">
        <f t="shared" si="42"/>
        <v>0.00017510649649933184</v>
      </c>
      <c r="BN34" s="1">
        <f t="shared" si="43"/>
        <v>0.0001357344549131874</v>
      </c>
      <c r="BO34" s="1">
        <f t="shared" si="44"/>
        <v>9.68005098363881E-05</v>
      </c>
      <c r="BP34" s="1">
        <f t="shared" si="45"/>
        <v>5.81867459021399E-05</v>
      </c>
      <c r="BQ34" s="1">
        <f t="shared" si="46"/>
        <v>1.948557326326614E-05</v>
      </c>
      <c r="BR34" s="1">
        <f t="shared" si="47"/>
        <v>0.509147112498324</v>
      </c>
    </row>
    <row r="35" spans="2:70" ht="17.25">
      <c r="B35" s="16">
        <f t="shared" si="48"/>
        <v>1.8000000000000005</v>
      </c>
      <c r="C35" s="1">
        <f t="shared" si="6"/>
        <v>0.26574752261956064</v>
      </c>
      <c r="D35" s="1">
        <f t="shared" si="7"/>
        <v>0.839529630393956</v>
      </c>
      <c r="E35" s="1">
        <f t="shared" si="8"/>
        <v>0.229646442398407</v>
      </c>
      <c r="F35" s="1">
        <f t="shared" si="9"/>
        <v>8.146232908812166</v>
      </c>
      <c r="G35" s="1">
        <f t="shared" si="51"/>
        <v>6.839003903038159</v>
      </c>
      <c r="H35" s="1">
        <f t="shared" si="11"/>
        <v>1.2026895634437609</v>
      </c>
      <c r="I35" s="1">
        <f t="shared" si="12"/>
        <v>0.22096102826287417</v>
      </c>
      <c r="J35" s="1">
        <f t="shared" si="13"/>
        <v>0.09391243767866382</v>
      </c>
      <c r="K35" s="1">
        <f t="shared" si="14"/>
        <v>0.06409062025399656</v>
      </c>
      <c r="L35" s="1">
        <f t="shared" si="15"/>
        <v>0.030126752231198112</v>
      </c>
      <c r="M35" s="1">
        <f t="shared" si="16"/>
        <v>1.3201685234255449E-05</v>
      </c>
      <c r="N35" s="1">
        <f t="shared" si="1"/>
        <v>13.099102911889897</v>
      </c>
      <c r="O35" s="13">
        <f t="shared" si="2"/>
        <v>475.118852080858</v>
      </c>
      <c r="P35" s="11">
        <f t="shared" si="3"/>
        <v>2.844998926030133</v>
      </c>
      <c r="Q35" s="11">
        <f t="shared" si="49"/>
        <v>0.00010620173691479653</v>
      </c>
      <c r="R35" s="1">
        <f t="shared" si="17"/>
        <v>0.5416065634846297</v>
      </c>
      <c r="S35" s="11">
        <f t="shared" si="18"/>
        <v>7.507698861370262E-05</v>
      </c>
      <c r="T35" s="11">
        <f t="shared" si="19"/>
        <v>8.827867384795806E-05</v>
      </c>
      <c r="U35" s="11">
        <f t="shared" si="20"/>
        <v>0.1495455771910739</v>
      </c>
      <c r="V35" s="1">
        <f t="shared" si="21"/>
        <v>0.9340782434163397</v>
      </c>
      <c r="W35" s="1">
        <f t="shared" si="50"/>
        <v>3.2472110000657524</v>
      </c>
      <c r="X35" s="1">
        <f t="shared" si="50"/>
        <v>1.960726194558244</v>
      </c>
      <c r="Y35" s="1">
        <f t="shared" si="23"/>
        <v>1.4037285376786839</v>
      </c>
      <c r="Z35" s="1">
        <f t="shared" si="23"/>
        <v>1.0809980029863668</v>
      </c>
      <c r="AA35" s="1">
        <f t="shared" si="23"/>
        <v>0.8660627817438743</v>
      </c>
      <c r="AB35" s="1">
        <f t="shared" si="23"/>
        <v>0.7105669523408251</v>
      </c>
      <c r="AC35" s="1">
        <f t="shared" si="23"/>
        <v>0.5916911778719183</v>
      </c>
      <c r="AD35" s="1">
        <f aca="true" t="shared" si="52" ref="Y35:AT37">((1-AD$22)/AD$22/(1-0.05)*0.05)^$V35*LN(30*$F35/($O35/1000)*AD$22)</f>
        <v>0.4971431562439564</v>
      </c>
      <c r="AE35" s="1">
        <f t="shared" si="52"/>
        <v>0.4196643026719217</v>
      </c>
      <c r="AF35" s="1">
        <f t="shared" si="52"/>
        <v>0.3546672679465059</v>
      </c>
      <c r="AG35" s="1">
        <f t="shared" si="52"/>
        <v>0.2990963559548507</v>
      </c>
      <c r="AH35" s="1">
        <f t="shared" si="52"/>
        <v>0.25082808606134727</v>
      </c>
      <c r="AI35" s="1">
        <f t="shared" si="52"/>
        <v>0.208333501688847</v>
      </c>
      <c r="AJ35" s="1">
        <f t="shared" si="52"/>
        <v>0.1704766997365642</v>
      </c>
      <c r="AK35" s="1">
        <f t="shared" si="52"/>
        <v>0.13638804801178644</v>
      </c>
      <c r="AL35" s="1">
        <f t="shared" si="52"/>
        <v>0.10537922156598567</v>
      </c>
      <c r="AM35" s="1">
        <f t="shared" si="52"/>
        <v>0.07687957754190111</v>
      </c>
      <c r="AN35" s="1">
        <f t="shared" si="52"/>
        <v>0.05037374933700609</v>
      </c>
      <c r="AO35" s="1">
        <f t="shared" si="52"/>
        <v>0.025286840112670274</v>
      </c>
      <c r="AP35" s="1">
        <f t="shared" si="52"/>
        <v>0.02036381040034986</v>
      </c>
      <c r="AQ35" s="1">
        <f t="shared" si="52"/>
        <v>0.015441081043938999</v>
      </c>
      <c r="AR35" s="1">
        <f t="shared" si="52"/>
        <v>0.010489393848081377</v>
      </c>
      <c r="AS35" s="1">
        <f t="shared" si="52"/>
        <v>0.005446961839400363</v>
      </c>
      <c r="AT35" s="1">
        <f t="shared" si="52"/>
        <v>7.322411126937524E-05</v>
      </c>
      <c r="AU35" s="1">
        <f t="shared" si="24"/>
        <v>0.1301984298655999</v>
      </c>
      <c r="AV35" s="1">
        <f t="shared" si="25"/>
        <v>0.08411136830592322</v>
      </c>
      <c r="AW35" s="1">
        <f t="shared" si="26"/>
        <v>0.06211816351662625</v>
      </c>
      <c r="AX35" s="1">
        <f t="shared" si="27"/>
        <v>0.04867651961825602</v>
      </c>
      <c r="AY35" s="1">
        <f t="shared" si="28"/>
        <v>0.03941574335211748</v>
      </c>
      <c r="AZ35" s="1">
        <f t="shared" si="29"/>
        <v>0.03255645325531858</v>
      </c>
      <c r="BA35" s="1">
        <f t="shared" si="30"/>
        <v>0.027220858352896858</v>
      </c>
      <c r="BB35" s="1">
        <f t="shared" si="31"/>
        <v>0.02292018647289695</v>
      </c>
      <c r="BC35" s="1">
        <f t="shared" si="32"/>
        <v>0.019358289265460682</v>
      </c>
      <c r="BD35" s="1">
        <f t="shared" si="33"/>
        <v>0.01634409059753391</v>
      </c>
      <c r="BE35" s="1">
        <f t="shared" si="34"/>
        <v>0.01374811105040496</v>
      </c>
      <c r="BF35" s="1">
        <f t="shared" si="35"/>
        <v>0.011479039693754868</v>
      </c>
      <c r="BG35" s="1">
        <f t="shared" si="36"/>
        <v>0.009470255035635288</v>
      </c>
      <c r="BH35" s="1">
        <f t="shared" si="37"/>
        <v>0.007671618693708773</v>
      </c>
      <c r="BI35" s="1">
        <f t="shared" si="38"/>
        <v>0.006044181739444308</v>
      </c>
      <c r="BJ35" s="1">
        <f t="shared" si="39"/>
        <v>0.004556469977697174</v>
      </c>
      <c r="BK35" s="1">
        <f t="shared" si="40"/>
        <v>0.003181333171972683</v>
      </c>
      <c r="BL35" s="1">
        <f t="shared" si="41"/>
        <v>0.001891514736241911</v>
      </c>
      <c r="BM35" s="1">
        <f t="shared" si="42"/>
        <v>0.00022825325256509328</v>
      </c>
      <c r="BN35" s="1">
        <f t="shared" si="43"/>
        <v>0.00017902445722144447</v>
      </c>
      <c r="BO35" s="1">
        <f t="shared" si="44"/>
        <v>0.000129652374460102</v>
      </c>
      <c r="BP35" s="1">
        <f t="shared" si="45"/>
        <v>7.968177843740877E-05</v>
      </c>
      <c r="BQ35" s="1">
        <f t="shared" si="46"/>
        <v>2.7324920455815257E-05</v>
      </c>
      <c r="BR35" s="1">
        <f t="shared" si="47"/>
        <v>0.5416065634846297</v>
      </c>
    </row>
    <row r="36" spans="2:70" ht="17.25">
      <c r="B36" s="16">
        <f t="shared" si="48"/>
        <v>1.9000000000000006</v>
      </c>
      <c r="C36" s="1">
        <f t="shared" si="6"/>
        <v>0.2805112738762029</v>
      </c>
      <c r="D36" s="1">
        <f t="shared" si="7"/>
        <v>0.8703423024530766</v>
      </c>
      <c r="E36" s="1">
        <f t="shared" si="8"/>
        <v>0.24945525860583256</v>
      </c>
      <c r="F36" s="1">
        <f t="shared" si="9"/>
        <v>8.899795935434113</v>
      </c>
      <c r="G36" s="1">
        <f t="shared" si="51"/>
        <v>7.745868885808259</v>
      </c>
      <c r="H36" s="1">
        <f t="shared" si="11"/>
        <v>1.31394373425625</v>
      </c>
      <c r="I36" s="1">
        <f t="shared" si="12"/>
        <v>0.21348804104993477</v>
      </c>
      <c r="J36" s="1">
        <f t="shared" si="13"/>
        <v>0.09314629061638034</v>
      </c>
      <c r="K36" s="1">
        <f t="shared" si="14"/>
        <v>0.06698939993542027</v>
      </c>
      <c r="L36" s="1">
        <f t="shared" si="15"/>
        <v>0.030952295552995748</v>
      </c>
      <c r="M36" s="1">
        <f t="shared" si="16"/>
        <v>1.4787681120720747E-05</v>
      </c>
      <c r="N36" s="1">
        <f t="shared" si="1"/>
        <v>12.992239119802713</v>
      </c>
      <c r="O36" s="13">
        <f t="shared" si="2"/>
        <v>541.7384128039681</v>
      </c>
      <c r="P36" s="11">
        <f t="shared" si="3"/>
        <v>2.9229585363419748</v>
      </c>
      <c r="Q36" s="11">
        <f t="shared" si="49"/>
        <v>0.00012156599491432682</v>
      </c>
      <c r="R36" s="1">
        <f t="shared" si="17"/>
        <v>0.5737269352046696</v>
      </c>
      <c r="S36" s="11">
        <f t="shared" si="18"/>
        <v>0.00010395454773096257</v>
      </c>
      <c r="T36" s="11">
        <f t="shared" si="19"/>
        <v>0.00011874222885168331</v>
      </c>
      <c r="U36" s="11">
        <f t="shared" si="20"/>
        <v>0.12453599080737748</v>
      </c>
      <c r="V36" s="1">
        <f t="shared" si="21"/>
        <v>0.8936586093326558</v>
      </c>
      <c r="W36" s="1">
        <f t="shared" si="50"/>
        <v>3.2044654832308788</v>
      </c>
      <c r="X36" s="1">
        <f t="shared" si="50"/>
        <v>1.9989252177738106</v>
      </c>
      <c r="Y36" s="1">
        <f t="shared" si="52"/>
        <v>1.45957960297659</v>
      </c>
      <c r="Z36" s="1">
        <f t="shared" si="52"/>
        <v>1.1406476342302527</v>
      </c>
      <c r="AA36" s="1">
        <f t="shared" si="52"/>
        <v>0.9249360846677055</v>
      </c>
      <c r="AB36" s="1">
        <f t="shared" si="52"/>
        <v>0.7668641606796498</v>
      </c>
      <c r="AC36" s="1">
        <f t="shared" si="52"/>
        <v>0.6446524949092819</v>
      </c>
      <c r="AD36" s="1">
        <f t="shared" si="52"/>
        <v>0.5464513109539241</v>
      </c>
      <c r="AE36" s="1">
        <f t="shared" si="52"/>
        <v>0.4652035301252226</v>
      </c>
      <c r="AF36" s="1">
        <f t="shared" si="52"/>
        <v>0.39641483648563536</v>
      </c>
      <c r="AG36" s="1">
        <f t="shared" si="52"/>
        <v>0.3370694571571477</v>
      </c>
      <c r="AH36" s="1">
        <f t="shared" si="52"/>
        <v>0.2850556850459357</v>
      </c>
      <c r="AI36" s="1">
        <f t="shared" si="52"/>
        <v>0.2388397867388374</v>
      </c>
      <c r="AJ36" s="1">
        <f t="shared" si="52"/>
        <v>0.19726950595535556</v>
      </c>
      <c r="AK36" s="1">
        <f t="shared" si="52"/>
        <v>0.15944820119223588</v>
      </c>
      <c r="AL36" s="1">
        <f t="shared" si="52"/>
        <v>0.1246470300686833</v>
      </c>
      <c r="AM36" s="1">
        <f t="shared" si="52"/>
        <v>0.09223231033594191</v>
      </c>
      <c r="AN36" s="1">
        <f t="shared" si="52"/>
        <v>0.06157804744192119</v>
      </c>
      <c r="AO36" s="1">
        <f t="shared" si="52"/>
        <v>0.031861000976683616</v>
      </c>
      <c r="AP36" s="1">
        <f t="shared" si="52"/>
        <v>0.0259017958541056</v>
      </c>
      <c r="AQ36" s="1">
        <f t="shared" si="52"/>
        <v>0.01987858411371556</v>
      </c>
      <c r="AR36" s="1">
        <f t="shared" si="52"/>
        <v>0.013732850243513346</v>
      </c>
      <c r="AS36" s="1">
        <f t="shared" si="52"/>
        <v>0.007336944849964654</v>
      </c>
      <c r="AT36" s="1">
        <f t="shared" si="52"/>
        <v>0.00011885945859528873</v>
      </c>
      <c r="AU36" s="1">
        <f>0.5*(W36+X36)*(X$22-W$22)</f>
        <v>0.13008476752511725</v>
      </c>
      <c r="AV36" s="1">
        <f t="shared" si="25"/>
        <v>0.08646262051876004</v>
      </c>
      <c r="AW36" s="1">
        <f t="shared" si="26"/>
        <v>0.06500568093017106</v>
      </c>
      <c r="AX36" s="1">
        <f t="shared" si="27"/>
        <v>0.051639592972448946</v>
      </c>
      <c r="AY36" s="1">
        <f t="shared" si="28"/>
        <v>0.04229500613368387</v>
      </c>
      <c r="AZ36" s="1">
        <f t="shared" si="29"/>
        <v>0.035287916389723284</v>
      </c>
      <c r="BA36" s="1">
        <f t="shared" si="30"/>
        <v>0.02977759514658014</v>
      </c>
      <c r="BB36" s="1">
        <f t="shared" si="31"/>
        <v>0.02529137102697866</v>
      </c>
      <c r="BC36" s="1">
        <f t="shared" si="32"/>
        <v>0.021540459165271444</v>
      </c>
      <c r="BD36" s="1">
        <f t="shared" si="33"/>
        <v>0.01833710734106957</v>
      </c>
      <c r="BE36" s="1">
        <f t="shared" si="34"/>
        <v>0.015553128555077098</v>
      </c>
      <c r="BF36" s="1">
        <f t="shared" si="35"/>
        <v>0.01309738679461934</v>
      </c>
      <c r="BG36" s="1">
        <f t="shared" si="36"/>
        <v>0.010902732317354833</v>
      </c>
      <c r="BH36" s="1">
        <f t="shared" si="37"/>
        <v>0.008917942678689793</v>
      </c>
      <c r="BI36" s="1">
        <f t="shared" si="38"/>
        <v>0.007102380781522985</v>
      </c>
      <c r="BJ36" s="1">
        <f t="shared" si="39"/>
        <v>0.005421983510115635</v>
      </c>
      <c r="BK36" s="1">
        <f t="shared" si="40"/>
        <v>0.003845258944446581</v>
      </c>
      <c r="BL36" s="1">
        <f t="shared" si="41"/>
        <v>0.0023359762104651224</v>
      </c>
      <c r="BM36" s="1">
        <f t="shared" si="42"/>
        <v>0.00028881398415393675</v>
      </c>
      <c r="BN36" s="1">
        <f t="shared" si="43"/>
        <v>0.000228901899839106</v>
      </c>
      <c r="BO36" s="1">
        <f t="shared" si="44"/>
        <v>0.00016805717178614468</v>
      </c>
      <c r="BP36" s="1">
        <f t="shared" si="45"/>
        <v>0.00010534897546739009</v>
      </c>
      <c r="BQ36" s="1">
        <f t="shared" si="46"/>
        <v>3.690623132737179E-05</v>
      </c>
      <c r="BR36" s="1">
        <f t="shared" si="47"/>
        <v>0.5737269352046696</v>
      </c>
    </row>
    <row r="37" spans="2:70" ht="17.25">
      <c r="B37" s="16">
        <v>1.972</v>
      </c>
      <c r="C37" s="1">
        <f t="shared" si="6"/>
        <v>0.2911411747809852</v>
      </c>
      <c r="D37" s="1">
        <f t="shared" si="7"/>
        <v>0.8921933168585373</v>
      </c>
      <c r="E37" s="1">
        <f t="shared" si="8"/>
        <v>0.26391657436146865</v>
      </c>
      <c r="F37" s="1">
        <f t="shared" si="9"/>
        <v>9.450071872339114</v>
      </c>
      <c r="G37" s="1">
        <f t="shared" si="51"/>
        <v>8.431290968333803</v>
      </c>
      <c r="H37" s="1">
        <f t="shared" si="11"/>
        <v>1.3951851048060622</v>
      </c>
      <c r="I37" s="1">
        <f t="shared" si="12"/>
        <v>0.20867566158646406</v>
      </c>
      <c r="J37" s="1">
        <f t="shared" si="13"/>
        <v>0.09266311729697167</v>
      </c>
      <c r="K37" s="1">
        <f t="shared" si="14"/>
        <v>0.06902932377241604</v>
      </c>
      <c r="L37" s="1">
        <f t="shared" si="15"/>
        <v>0.03153330696263873</v>
      </c>
      <c r="M37" s="1">
        <f t="shared" si="16"/>
        <v>1.5972166331974367E-05</v>
      </c>
      <c r="N37" s="1">
        <f t="shared" si="1"/>
        <v>12.924845096266983</v>
      </c>
      <c r="O37" s="13">
        <f t="shared" si="2"/>
        <v>590.9520380900311</v>
      </c>
      <c r="P37" s="11">
        <f t="shared" si="3"/>
        <v>2.9778259453398084</v>
      </c>
      <c r="Q37" s="11">
        <f t="shared" si="49"/>
        <v>0.00013340688207970437</v>
      </c>
      <c r="R37" s="1">
        <f t="shared" si="17"/>
        <v>0.596612877739143</v>
      </c>
      <c r="S37" s="11">
        <f t="shared" si="18"/>
        <v>0.00012980146573559595</v>
      </c>
      <c r="T37" s="11">
        <f t="shared" si="19"/>
        <v>0.00014577363206757032</v>
      </c>
      <c r="U37" s="11">
        <f t="shared" si="20"/>
        <v>0.10956828135125839</v>
      </c>
      <c r="V37" s="1">
        <f t="shared" si="21"/>
        <v>0.8672496080606105</v>
      </c>
      <c r="W37" s="1">
        <f t="shared" si="50"/>
        <v>3.177507873816587</v>
      </c>
      <c r="X37" s="1">
        <f t="shared" si="50"/>
        <v>2.0246611643081365</v>
      </c>
      <c r="Y37" s="1">
        <f t="shared" si="52"/>
        <v>1.4975263235213832</v>
      </c>
      <c r="Z37" s="1">
        <f t="shared" si="52"/>
        <v>1.1815838570934016</v>
      </c>
      <c r="AA37" s="1">
        <f t="shared" si="52"/>
        <v>0.9657020890715986</v>
      </c>
      <c r="AB37" s="1">
        <f t="shared" si="52"/>
        <v>0.806160520018726</v>
      </c>
      <c r="AC37" s="1">
        <f t="shared" si="52"/>
        <v>0.6818945574975226</v>
      </c>
      <c r="AD37" s="1">
        <f t="shared" si="52"/>
        <v>0.5813669168296303</v>
      </c>
      <c r="AE37" s="1">
        <f t="shared" si="52"/>
        <v>0.4976674617915756</v>
      </c>
      <c r="AF37" s="1">
        <f t="shared" si="52"/>
        <v>0.42637267761219577</v>
      </c>
      <c r="AG37" s="1">
        <f t="shared" si="52"/>
        <v>0.36449935225856395</v>
      </c>
      <c r="AH37" s="1">
        <f t="shared" si="52"/>
        <v>0.30994741925258645</v>
      </c>
      <c r="AI37" s="1">
        <f t="shared" si="52"/>
        <v>0.26118198510229</v>
      </c>
      <c r="AJ37" s="1">
        <f t="shared" si="52"/>
        <v>0.21704026890224337</v>
      </c>
      <c r="AK37" s="1">
        <f t="shared" si="52"/>
        <v>0.17660616869145318</v>
      </c>
      <c r="AL37" s="1">
        <f t="shared" si="52"/>
        <v>0.13911987075964605</v>
      </c>
      <c r="AM37" s="1">
        <f t="shared" si="52"/>
        <v>0.10389745335190033</v>
      </c>
      <c r="AN37" s="1">
        <f t="shared" si="52"/>
        <v>0.07022179967796974</v>
      </c>
      <c r="AO37" s="1">
        <f t="shared" si="52"/>
        <v>0.037058892516005755</v>
      </c>
      <c r="AP37" s="1">
        <f t="shared" si="52"/>
        <v>0.030314160306055084</v>
      </c>
      <c r="AQ37" s="1">
        <f t="shared" si="52"/>
        <v>0.023448911207450584</v>
      </c>
      <c r="AR37" s="1">
        <f t="shared" si="52"/>
        <v>0.01637831088850917</v>
      </c>
      <c r="AS37" s="1">
        <f t="shared" si="52"/>
        <v>0.008914421061495705</v>
      </c>
      <c r="AT37" s="1">
        <f t="shared" si="52"/>
        <v>0.00016313487367933943</v>
      </c>
      <c r="AU37" s="1">
        <f>0.5*(W37+X37)*(X$22-W$22)</f>
        <v>0.13005422595311808</v>
      </c>
      <c r="AV37" s="1">
        <f aca="true" t="shared" si="53" ref="AV37:BE37">0.5*(X37+Y37)*(Y$22-X$22)</f>
        <v>0.08805468719573802</v>
      </c>
      <c r="AW37" s="1">
        <f t="shared" si="53"/>
        <v>0.06697775451536961</v>
      </c>
      <c r="AX37" s="1">
        <f t="shared" si="53"/>
        <v>0.053682148654124996</v>
      </c>
      <c r="AY37" s="1">
        <f t="shared" si="53"/>
        <v>0.044296565227258104</v>
      </c>
      <c r="AZ37" s="1">
        <f t="shared" si="53"/>
        <v>0.037201376937906205</v>
      </c>
      <c r="BA37" s="1">
        <f t="shared" si="53"/>
        <v>0.03158153685817881</v>
      </c>
      <c r="BB37" s="1">
        <f t="shared" si="53"/>
        <v>0.026975859465530144</v>
      </c>
      <c r="BC37" s="1">
        <f t="shared" si="53"/>
        <v>0.02310100348509428</v>
      </c>
      <c r="BD37" s="1">
        <f t="shared" si="53"/>
        <v>0.019771800746768986</v>
      </c>
      <c r="BE37" s="1">
        <f t="shared" si="53"/>
        <v>0.016861169287778775</v>
      </c>
      <c r="BF37" s="1">
        <f aca="true" t="shared" si="54" ref="BF37:BO37">0.5*(AH37+AI37)*(AI$22-AH$22)</f>
        <v>0.014278235108871924</v>
      </c>
      <c r="BG37" s="1">
        <f t="shared" si="54"/>
        <v>0.011955556350113345</v>
      </c>
      <c r="BH37" s="1">
        <f t="shared" si="54"/>
        <v>0.009841160939842422</v>
      </c>
      <c r="BI37" s="1">
        <f t="shared" si="54"/>
        <v>0.007893150986277488</v>
      </c>
      <c r="BJ37" s="1">
        <f t="shared" si="54"/>
        <v>0.006075433102788665</v>
      </c>
      <c r="BK37" s="1">
        <f t="shared" si="54"/>
        <v>0.004352981325746756</v>
      </c>
      <c r="BL37" s="1">
        <f t="shared" si="54"/>
        <v>0.0026820173048493893</v>
      </c>
      <c r="BM37" s="1">
        <f t="shared" si="54"/>
        <v>0.00033686526411029325</v>
      </c>
      <c r="BN37" s="1">
        <f t="shared" si="54"/>
        <v>0.0002688153575675286</v>
      </c>
      <c r="BO37" s="1">
        <f t="shared" si="54"/>
        <v>0.00019913611047979893</v>
      </c>
      <c r="BP37" s="1">
        <f>0.5*(AR37+AS37)*(AS$22-AR$22)</f>
        <v>0.00012646365975002447</v>
      </c>
      <c r="BQ37" s="1">
        <f>0.5*(AS37+AT37)*(AT$22-AS$22)</f>
        <v>4.493390187911656E-05</v>
      </c>
      <c r="BR37" s="1">
        <f t="shared" si="47"/>
        <v>0.596612877739143</v>
      </c>
    </row>
    <row r="38" spans="15:21" ht="17.25">
      <c r="O38" s="13"/>
      <c r="P38" s="11"/>
      <c r="Q38" s="11"/>
      <c r="S38" s="11"/>
      <c r="T38" s="11"/>
      <c r="U38" s="11"/>
    </row>
    <row r="39" spans="15:21" ht="17.25">
      <c r="O39" s="13"/>
      <c r="P39" s="11"/>
      <c r="Q39" s="11"/>
      <c r="S39" s="11"/>
      <c r="T39" s="11"/>
      <c r="U39" s="11"/>
    </row>
    <row r="40" spans="15:21" ht="17.25">
      <c r="O40" s="13"/>
      <c r="P40" s="11"/>
      <c r="Q40" s="11"/>
      <c r="S40" s="11"/>
      <c r="T40" s="11"/>
      <c r="U40" s="11"/>
    </row>
    <row r="41" spans="15:21" ht="17.25">
      <c r="O41" s="13"/>
      <c r="P41" s="11"/>
      <c r="Q41" s="11"/>
      <c r="S41" s="11"/>
      <c r="T41" s="11"/>
      <c r="U41" s="11"/>
    </row>
  </sheetData>
  <printOptions/>
  <pageMargins left="0.75" right="0.75" top="1" bottom="1" header="0.5" footer="0.5"/>
  <pageSetup horizontalDpi="600" verticalDpi="600" orientation="portrait" paperSize="9" r:id="rId26"/>
  <drawing r:id="rId25"/>
  <legacyDrawing r:id="rId24"/>
  <oleObjects>
    <oleObject progId="Equation.3" shapeId="750092" r:id="rId1"/>
    <oleObject progId="Equation.3" shapeId="751892" r:id="rId2"/>
    <oleObject progId="Equation.3" shapeId="754630" r:id="rId3"/>
    <oleObject progId="Equation.3" shapeId="757254" r:id="rId4"/>
    <oleObject progId="Equation.3" shapeId="760226" r:id="rId5"/>
    <oleObject progId="Equation.3" shapeId="763793" r:id="rId6"/>
    <oleObject progId="Equation.3" shapeId="767024" r:id="rId7"/>
    <oleObject progId="Equation.3" shapeId="769542" r:id="rId8"/>
    <oleObject progId="Equation.3" shapeId="771944" r:id="rId9"/>
    <oleObject progId="Equation.3" shapeId="778162" r:id="rId10"/>
    <oleObject progId="Equation.3" shapeId="781453" r:id="rId11"/>
    <oleObject progId="Equation.3" shapeId="786019" r:id="rId12"/>
    <oleObject progId="Equation.3" shapeId="794934" r:id="rId13"/>
    <oleObject progId="Equation.3" shapeId="796920" r:id="rId14"/>
    <oleObject progId="Equation.3" shapeId="809070" r:id="rId15"/>
    <oleObject progId="Equation.3" shapeId="813817" r:id="rId16"/>
    <oleObject progId="Equation.3" shapeId="815607" r:id="rId17"/>
    <oleObject progId="Equation.3" shapeId="825471" r:id="rId18"/>
    <oleObject progId="Equation.3" shapeId="827062" r:id="rId19"/>
    <oleObject progId="Equation.3" shapeId="865769" r:id="rId20"/>
    <oleObject progId="Equation.3" shapeId="880442" r:id="rId21"/>
    <oleObject progId="Equation.3" shapeId="887167" r:id="rId22"/>
    <oleObject progId="Equation.3" shapeId="888574" r:id="rId2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W120"/>
  <sheetViews>
    <sheetView workbookViewId="0" topLeftCell="A1">
      <selection activeCell="O28" sqref="O28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28125" style="1" bestFit="1" customWidth="1"/>
    <col min="4" max="4" width="10.8515625" style="1" customWidth="1"/>
    <col min="5" max="6" width="9.140625" style="1" customWidth="1"/>
    <col min="7" max="7" width="12.7109375" style="1" customWidth="1"/>
    <col min="8" max="8" width="12.00390625" style="1" customWidth="1"/>
    <col min="9" max="9" width="12.140625" style="1" bestFit="1" customWidth="1"/>
    <col min="10" max="10" width="9.28125" style="1" bestFit="1" customWidth="1"/>
    <col min="11" max="11" width="12.57421875" style="1" customWidth="1"/>
    <col min="12" max="12" width="9.28125" style="1" bestFit="1" customWidth="1"/>
    <col min="13" max="13" width="12.57421875" style="1" bestFit="1" customWidth="1"/>
    <col min="14" max="14" width="10.7109375" style="1" bestFit="1" customWidth="1"/>
    <col min="15" max="15" width="9.28125" style="1" bestFit="1" customWidth="1"/>
    <col min="16" max="16" width="12.57421875" style="1" bestFit="1" customWidth="1"/>
    <col min="17" max="17" width="19.140625" style="1" bestFit="1" customWidth="1"/>
    <col min="18" max="18" width="17.00390625" style="1" customWidth="1"/>
    <col min="19" max="19" width="12.57421875" style="1" bestFit="1" customWidth="1"/>
    <col min="20" max="20" width="15.7109375" style="1" customWidth="1"/>
    <col min="21" max="21" width="13.7109375" style="1" customWidth="1"/>
    <col min="22" max="16384" width="9.140625" style="1" customWidth="1"/>
  </cols>
  <sheetData>
    <row r="1" ht="17.25">
      <c r="D1" s="1" t="s">
        <v>90</v>
      </c>
    </row>
    <row r="2" ht="17.25">
      <c r="E2" s="1" t="s">
        <v>91</v>
      </c>
    </row>
    <row r="3" ht="19.5">
      <c r="E3" s="1" t="s">
        <v>93</v>
      </c>
    </row>
    <row r="4" ht="17.25">
      <c r="E4" s="1" t="s">
        <v>92</v>
      </c>
    </row>
    <row r="6" spans="2:10" ht="17.25">
      <c r="B6" s="1" t="s">
        <v>52</v>
      </c>
      <c r="J6" s="1" t="s">
        <v>57</v>
      </c>
    </row>
    <row r="8" spans="3:5" ht="19.5">
      <c r="C8" s="1" t="s">
        <v>113</v>
      </c>
      <c r="E8" s="1" t="s">
        <v>113</v>
      </c>
    </row>
    <row r="9" spans="2:11" ht="19.5">
      <c r="B9" s="1" t="s">
        <v>63</v>
      </c>
      <c r="C9" s="1">
        <v>2374.195</v>
      </c>
      <c r="D9" s="1" t="s">
        <v>112</v>
      </c>
      <c r="E9" s="1">
        <f>G120</f>
        <v>2355.3440099999993</v>
      </c>
      <c r="J9" s="1" t="s">
        <v>53</v>
      </c>
      <c r="K9" s="1" t="s">
        <v>54</v>
      </c>
    </row>
    <row r="10" spans="10:11" ht="17.25">
      <c r="J10" s="14">
        <v>448.73</v>
      </c>
      <c r="K10" s="15">
        <v>9.174</v>
      </c>
    </row>
    <row r="11" spans="2:13" ht="19.5">
      <c r="B11" s="1" t="s">
        <v>62</v>
      </c>
      <c r="C11" s="1" t="s">
        <v>51</v>
      </c>
      <c r="H11" s="1" t="s">
        <v>56</v>
      </c>
      <c r="J11" s="14">
        <v>433.91</v>
      </c>
      <c r="K11" s="15">
        <v>8.387</v>
      </c>
      <c r="L11" s="1" t="s">
        <v>1</v>
      </c>
      <c r="M11" s="11">
        <f>(K10-K12)/(J10-J12)/1000</f>
        <v>5.141093474426806E-05</v>
      </c>
    </row>
    <row r="12" spans="2:11" ht="17.25">
      <c r="B12" s="1">
        <v>513.706</v>
      </c>
      <c r="C12" s="1">
        <v>100</v>
      </c>
      <c r="J12" s="14">
        <v>318.32</v>
      </c>
      <c r="K12" s="14">
        <v>2.4695</v>
      </c>
    </row>
    <row r="13" spans="2:11" ht="17.25">
      <c r="B13" s="1">
        <v>610.46</v>
      </c>
      <c r="C13" s="1">
        <v>98</v>
      </c>
      <c r="J13" s="14"/>
      <c r="K13" s="14"/>
    </row>
    <row r="14" spans="2:10" ht="17.25">
      <c r="B14" s="1">
        <v>683.751</v>
      </c>
      <c r="C14" s="1">
        <v>96</v>
      </c>
      <c r="E14" s="1" t="s">
        <v>74</v>
      </c>
      <c r="J14" s="1" t="s">
        <v>58</v>
      </c>
    </row>
    <row r="15" spans="2:10" ht="17.25">
      <c r="B15" s="1">
        <v>750.054</v>
      </c>
      <c r="C15" s="1">
        <v>94</v>
      </c>
      <c r="E15" s="1" t="s">
        <v>64</v>
      </c>
      <c r="J15" s="1" t="s">
        <v>64</v>
      </c>
    </row>
    <row r="16" spans="2:12" ht="19.5">
      <c r="B16" s="1">
        <v>843.016</v>
      </c>
      <c r="C16" s="1">
        <v>92</v>
      </c>
      <c r="E16" s="1" t="s">
        <v>16</v>
      </c>
      <c r="F16" s="1" t="s">
        <v>59</v>
      </c>
      <c r="J16" s="1" t="s">
        <v>65</v>
      </c>
      <c r="K16" s="1">
        <v>358</v>
      </c>
      <c r="L16" s="1" t="s">
        <v>55</v>
      </c>
    </row>
    <row r="17" spans="2:12" ht="19.5">
      <c r="B17" s="1">
        <v>1032.693</v>
      </c>
      <c r="C17" s="1">
        <v>90</v>
      </c>
      <c r="E17" s="1">
        <v>1.435408667032364</v>
      </c>
      <c r="F17" s="1">
        <v>303.8333333333333</v>
      </c>
      <c r="J17" s="1" t="s">
        <v>66</v>
      </c>
      <c r="K17" s="14">
        <v>9.45</v>
      </c>
      <c r="L17" s="14" t="s">
        <v>55</v>
      </c>
    </row>
    <row r="18" spans="2:6" ht="17.25">
      <c r="B18" s="1">
        <v>1088.924</v>
      </c>
      <c r="C18" s="1">
        <v>88</v>
      </c>
      <c r="E18" s="1">
        <v>2.400458221024259</v>
      </c>
      <c r="F18" s="1">
        <v>309.16666666666663</v>
      </c>
    </row>
    <row r="19" spans="2:10" ht="17.25">
      <c r="B19" s="1">
        <v>1124.427</v>
      </c>
      <c r="C19" s="1">
        <v>86</v>
      </c>
      <c r="E19" s="1">
        <v>3.3575</v>
      </c>
      <c r="F19" s="1">
        <v>313.3333333333333</v>
      </c>
      <c r="J19" s="1" t="s">
        <v>67</v>
      </c>
    </row>
    <row r="20" spans="2:10" ht="17.25">
      <c r="B20" s="1">
        <v>1190.476</v>
      </c>
      <c r="C20" s="1">
        <v>84</v>
      </c>
      <c r="E20" s="1">
        <v>4.29876481312671</v>
      </c>
      <c r="F20" s="1">
        <v>317.9710144927536</v>
      </c>
      <c r="J20" s="1" t="s">
        <v>68</v>
      </c>
    </row>
    <row r="21" spans="2:13" ht="19.5">
      <c r="B21" s="1">
        <v>1223.759</v>
      </c>
      <c r="C21" s="1">
        <v>82</v>
      </c>
      <c r="E21" s="1">
        <v>5.21720386784851</v>
      </c>
      <c r="F21" s="1">
        <v>323.7391304347826</v>
      </c>
      <c r="J21" s="1" t="s">
        <v>46</v>
      </c>
      <c r="L21" s="1" t="s">
        <v>3</v>
      </c>
      <c r="M21" s="1">
        <v>0.211</v>
      </c>
    </row>
    <row r="22" spans="2:13" ht="19.5">
      <c r="B22" s="1">
        <v>1268.927</v>
      </c>
      <c r="C22" s="1">
        <v>80</v>
      </c>
      <c r="E22" s="1">
        <v>6.1342857142857135</v>
      </c>
      <c r="F22" s="1">
        <v>328.1884057971015</v>
      </c>
      <c r="J22" s="1" t="s">
        <v>69</v>
      </c>
      <c r="L22" s="1" t="s">
        <v>3</v>
      </c>
      <c r="M22" s="1">
        <v>0.211</v>
      </c>
    </row>
    <row r="23" spans="2:13" ht="19.5">
      <c r="B23" s="1">
        <v>1309.638</v>
      </c>
      <c r="C23" s="1">
        <v>78</v>
      </c>
      <c r="E23" s="1">
        <v>7.019282511210762</v>
      </c>
      <c r="F23" s="1">
        <v>334.5</v>
      </c>
      <c r="J23" s="1" t="s">
        <v>47</v>
      </c>
      <c r="L23" s="1" t="s">
        <v>3</v>
      </c>
      <c r="M23" s="1">
        <v>0.425</v>
      </c>
    </row>
    <row r="24" spans="2:13" ht="19.5">
      <c r="B24" s="1">
        <v>1344.82</v>
      </c>
      <c r="C24" s="1">
        <v>76</v>
      </c>
      <c r="E24" s="1">
        <v>7.933793103448275</v>
      </c>
      <c r="F24" s="1">
        <v>338.33333333333337</v>
      </c>
      <c r="J24" s="7" t="s">
        <v>70</v>
      </c>
      <c r="M24" s="1">
        <v>1.63</v>
      </c>
    </row>
    <row r="25" spans="2:6" ht="17.25">
      <c r="B25" s="1">
        <v>1379.085</v>
      </c>
      <c r="C25" s="1">
        <v>74</v>
      </c>
      <c r="E25" s="1">
        <v>8.722589928057554</v>
      </c>
      <c r="F25" s="1">
        <v>347.5</v>
      </c>
    </row>
    <row r="26" spans="2:9" ht="19.5">
      <c r="B26" s="1">
        <v>1415.296</v>
      </c>
      <c r="C26" s="1">
        <v>72</v>
      </c>
      <c r="E26" s="1">
        <v>9.451327203125617</v>
      </c>
      <c r="F26" s="1">
        <v>357.8954802259887</v>
      </c>
      <c r="I26" s="1" t="s">
        <v>72</v>
      </c>
    </row>
    <row r="27" spans="2:12" ht="21">
      <c r="B27" s="1">
        <v>1457.37</v>
      </c>
      <c r="C27" s="1">
        <v>70</v>
      </c>
      <c r="J27" s="1" t="s">
        <v>71</v>
      </c>
      <c r="K27" s="1">
        <f>K16*Calculator!G37</f>
        <v>3018.4021666635017</v>
      </c>
      <c r="L27" s="1" t="s">
        <v>113</v>
      </c>
    </row>
    <row r="28" spans="2:15" ht="17.25">
      <c r="B28" s="1">
        <v>1511.171</v>
      </c>
      <c r="C28" s="1">
        <v>68</v>
      </c>
      <c r="G28" s="1" t="s">
        <v>76</v>
      </c>
      <c r="J28" s="1" t="s">
        <v>73</v>
      </c>
      <c r="O28" s="1">
        <f>C47+(C48-C47)/(LN(B48)-LN(B47))*(LN(K27)-LN(B47))</f>
        <v>29.430995990140975</v>
      </c>
    </row>
    <row r="29" spans="2:8" ht="17.25">
      <c r="B29" s="1">
        <v>1579.878</v>
      </c>
      <c r="C29" s="1">
        <v>66</v>
      </c>
      <c r="H29" s="1" t="s">
        <v>77</v>
      </c>
    </row>
    <row r="30" spans="2:11" ht="17.25">
      <c r="B30" s="1">
        <v>1708.63</v>
      </c>
      <c r="C30" s="1">
        <v>64</v>
      </c>
      <c r="E30" s="1" t="s">
        <v>75</v>
      </c>
      <c r="K30" s="1" t="s">
        <v>79</v>
      </c>
    </row>
    <row r="31" spans="2:18" ht="17.25">
      <c r="B31" s="1">
        <v>1832.36</v>
      </c>
      <c r="C31" s="1">
        <v>62</v>
      </c>
      <c r="O31" s="1" t="s">
        <v>75</v>
      </c>
      <c r="R31" s="1" t="s">
        <v>75</v>
      </c>
    </row>
    <row r="32" spans="2:20" ht="21">
      <c r="B32" s="1">
        <v>1911.044</v>
      </c>
      <c r="C32" s="1">
        <v>60</v>
      </c>
      <c r="G32" s="1" t="s">
        <v>17</v>
      </c>
      <c r="H32" s="1" t="s">
        <v>16</v>
      </c>
      <c r="I32" s="1" t="s">
        <v>59</v>
      </c>
      <c r="J32" s="1" t="s">
        <v>97</v>
      </c>
      <c r="K32" s="1" t="s">
        <v>98</v>
      </c>
      <c r="L32" s="1" t="s">
        <v>78</v>
      </c>
      <c r="M32" s="1" t="s">
        <v>99</v>
      </c>
      <c r="N32" s="1" t="s">
        <v>100</v>
      </c>
      <c r="P32" s="1" t="s">
        <v>103</v>
      </c>
      <c r="Q32" s="1" t="s">
        <v>104</v>
      </c>
      <c r="S32" s="1" t="s">
        <v>105</v>
      </c>
      <c r="T32" s="1" t="s">
        <v>106</v>
      </c>
    </row>
    <row r="33" spans="2:20" ht="17.25">
      <c r="B33" s="1">
        <v>2020.893</v>
      </c>
      <c r="C33" s="1">
        <v>58</v>
      </c>
      <c r="G33" s="1">
        <v>0.2641521389723028</v>
      </c>
      <c r="H33" s="1">
        <v>0.6544838576370529</v>
      </c>
      <c r="I33" s="1">
        <f>F17+(F18-F17)/(E18-E17)*(H33-E17)</f>
        <v>299.5175629155896</v>
      </c>
      <c r="J33" s="1">
        <v>1</v>
      </c>
      <c r="K33" s="1">
        <f>G33*I33</f>
        <v>79.11820490392427</v>
      </c>
      <c r="P33" s="11">
        <v>6.425138966024434E-07</v>
      </c>
      <c r="Q33" s="1">
        <f>P33*I33</f>
        <v>0.00019244419644976298</v>
      </c>
      <c r="R33"/>
      <c r="S33" s="11">
        <v>5.986823633146589E-07</v>
      </c>
      <c r="T33" s="11">
        <f>S33*I33</f>
        <v>0.00017931588242055225</v>
      </c>
    </row>
    <row r="34" spans="2:21" ht="17.25">
      <c r="B34" s="1">
        <v>2158.46</v>
      </c>
      <c r="C34" s="1">
        <v>56</v>
      </c>
      <c r="G34" s="1">
        <v>0.4886792310664446</v>
      </c>
      <c r="H34" s="1">
        <v>1.0925403778356024</v>
      </c>
      <c r="I34" s="1">
        <f>F17+(F18-F17)/(E18-E17)*(H34-E17)</f>
        <v>301.938476361324</v>
      </c>
      <c r="J34" s="1">
        <v>2</v>
      </c>
      <c r="K34" s="1">
        <f aca="true" t="shared" si="0" ref="K34:K47">G34*I34</f>
        <v>147.55106245762568</v>
      </c>
      <c r="M34" s="1" t="s">
        <v>101</v>
      </c>
      <c r="P34" s="11">
        <v>1.233991018183463E-06</v>
      </c>
      <c r="Q34" s="1">
        <f aca="true" t="shared" si="1" ref="Q34:Q47">P34*I34</f>
        <v>0.00037258936787387366</v>
      </c>
      <c r="S34" s="11">
        <v>1.0944482532725588E-06</v>
      </c>
      <c r="T34" s="11">
        <f aca="true" t="shared" si="2" ref="T34:T47">S34*I34</f>
        <v>0.0003304560380494288</v>
      </c>
      <c r="U34"/>
    </row>
    <row r="35" spans="2:20" ht="17.25">
      <c r="B35" s="1">
        <v>2204.5</v>
      </c>
      <c r="C35" s="1">
        <v>54</v>
      </c>
      <c r="G35" s="1">
        <v>0.7764291185770348</v>
      </c>
      <c r="H35" s="1">
        <v>1.588013284208665</v>
      </c>
      <c r="I35" s="1">
        <f>F17+(F18-F17)/(E18-E17)*(H35-E17)</f>
        <v>304.6767006902118</v>
      </c>
      <c r="J35" s="1">
        <v>3</v>
      </c>
      <c r="K35" s="1">
        <f t="shared" si="0"/>
        <v>236.55986216786022</v>
      </c>
      <c r="M35" s="1" t="s">
        <v>102</v>
      </c>
      <c r="P35" s="11">
        <v>2.0810229860256196E-06</v>
      </c>
      <c r="Q35" s="1">
        <f t="shared" si="1"/>
        <v>0.0006340392174427785</v>
      </c>
      <c r="S35" s="11">
        <v>1.7142529275437495E-06</v>
      </c>
      <c r="T35" s="11">
        <f t="shared" si="2"/>
        <v>0.0005222929261125663</v>
      </c>
    </row>
    <row r="36" spans="2:20" ht="17.25">
      <c r="B36" s="1">
        <v>2270.617</v>
      </c>
      <c r="C36" s="1">
        <v>52</v>
      </c>
      <c r="G36" s="1">
        <v>1.1254766881570757</v>
      </c>
      <c r="H36" s="1">
        <v>2.1280760250330406</v>
      </c>
      <c r="I36" s="1">
        <f>F17+(F18-F17)/(E18-E17)*(H36-E17)</f>
        <v>307.66135013729524</v>
      </c>
      <c r="J36" s="1">
        <v>4</v>
      </c>
      <c r="K36" s="1">
        <f t="shared" si="0"/>
        <v>346.2656774264575</v>
      </c>
      <c r="P36" s="11">
        <v>3.288490002978067E-06</v>
      </c>
      <c r="Q36" s="1">
        <f t="shared" si="1"/>
        <v>0.0010117412742292303</v>
      </c>
      <c r="S36" s="11">
        <v>2.448010606076815E-06</v>
      </c>
      <c r="T36" s="11">
        <f t="shared" si="2"/>
        <v>0.0007531582482160114</v>
      </c>
    </row>
    <row r="37" spans="2:20" ht="17.25">
      <c r="B37" s="1">
        <v>2374.195</v>
      </c>
      <c r="C37" s="1">
        <v>50</v>
      </c>
      <c r="G37" s="1">
        <v>1.5343074095468523</v>
      </c>
      <c r="H37" s="1">
        <v>2.7043196491231756</v>
      </c>
      <c r="I37" s="1">
        <f>F18+(F19-F18)/(E19-E18)*(H37-E18)</f>
        <v>310.4895862210256</v>
      </c>
      <c r="J37" s="1">
        <v>5</v>
      </c>
      <c r="K37" s="1">
        <f t="shared" si="0"/>
        <v>476.38647272605584</v>
      </c>
      <c r="P37" s="11">
        <v>5.022329248655063E-06</v>
      </c>
      <c r="Q37" s="1">
        <f t="shared" si="1"/>
        <v>0.0015593809302806648</v>
      </c>
      <c r="S37" s="11">
        <v>3.287691237704224E-06</v>
      </c>
      <c r="T37" s="11">
        <f t="shared" si="2"/>
        <v>0.0010207938920172759</v>
      </c>
    </row>
    <row r="38" spans="2:20" ht="17.25">
      <c r="B38" s="1">
        <v>2437.901</v>
      </c>
      <c r="C38" s="1">
        <v>48</v>
      </c>
      <c r="G38" s="1">
        <v>2.0016791458888163</v>
      </c>
      <c r="H38" s="1">
        <v>3.310891755996921</v>
      </c>
      <c r="I38" s="1">
        <f>F18+(F19-F18)/(E19-E18)*(H38-E18)</f>
        <v>313.1304153197777</v>
      </c>
      <c r="J38" s="1">
        <v>6</v>
      </c>
      <c r="K38" s="1">
        <f t="shared" si="0"/>
        <v>626.786622289103</v>
      </c>
      <c r="L38" s="1">
        <f>N38-N39</f>
        <v>0.04026529355127251</v>
      </c>
      <c r="M38" s="1">
        <f>SQRT(K37*K38)</f>
        <v>546.436334941395</v>
      </c>
      <c r="N38" s="1">
        <f>0.01*(C12+(C13-C12)/(LN(B13)-LN(B12))*(LN(M38)-LN(B12)))</f>
        <v>0.9928412035875596</v>
      </c>
      <c r="P38" s="11">
        <v>7.522674953904803E-06</v>
      </c>
      <c r="Q38" s="1">
        <f t="shared" si="1"/>
        <v>0.0023555783326319004</v>
      </c>
      <c r="R38" s="1">
        <f>Q38*L38</f>
        <v>9.48480530464405E-05</v>
      </c>
      <c r="S38" s="11">
        <v>4.226715529183319E-06</v>
      </c>
      <c r="T38" s="11">
        <f t="shared" si="2"/>
        <v>0.0013235131890917266</v>
      </c>
    </row>
    <row r="39" spans="2:20" ht="17.25">
      <c r="B39" s="1">
        <v>2508.484</v>
      </c>
      <c r="C39" s="1">
        <v>46</v>
      </c>
      <c r="G39" s="1">
        <v>2.526542982444661</v>
      </c>
      <c r="H39" s="1">
        <v>3.9435271481922407</v>
      </c>
      <c r="I39" s="1">
        <f>F19+(F20-F19)/(E20-E19)*(H39-E19)</f>
        <v>316.2207323162528</v>
      </c>
      <c r="J39" s="1">
        <v>7</v>
      </c>
      <c r="K39" s="1">
        <f t="shared" si="0"/>
        <v>798.94527213714</v>
      </c>
      <c r="L39" s="1">
        <f aca="true" t="shared" si="3" ref="L39:L47">N39-N40</f>
        <v>0.03805394109958593</v>
      </c>
      <c r="M39" s="1">
        <f>SQRT(K38*K39)</f>
        <v>707.6497781506655</v>
      </c>
      <c r="N39" s="1">
        <f>0.01*(C14+(C15-C14)/(LN(B15)-LN(B14))*(LN(M39)-LN(B14)))</f>
        <v>0.952575910036287</v>
      </c>
      <c r="P39" s="11">
        <v>1.1117101001339845E-05</v>
      </c>
      <c r="Q39" s="1">
        <f t="shared" si="1"/>
        <v>0.003515457819877433</v>
      </c>
      <c r="R39" s="1">
        <f aca="true" t="shared" si="4" ref="R39:R47">Q39*L39</f>
        <v>0.0001337770248156946</v>
      </c>
      <c r="S39" s="11">
        <v>5.259570782782045E-06</v>
      </c>
      <c r="T39" s="11">
        <f t="shared" si="2"/>
        <v>0.001663185324600505</v>
      </c>
    </row>
    <row r="40" spans="2:21" ht="17.25">
      <c r="B40" s="1">
        <v>2570.66</v>
      </c>
      <c r="C40" s="1">
        <v>44</v>
      </c>
      <c r="G40" s="1">
        <v>3.107993742191777</v>
      </c>
      <c r="H40" s="1">
        <v>4.5990014038448885</v>
      </c>
      <c r="I40" s="1">
        <f>F20+(F21-F20)/(E21-E20)*(H40-E20)</f>
        <v>319.8566044580307</v>
      </c>
      <c r="J40" s="1">
        <v>8</v>
      </c>
      <c r="K40" s="1">
        <f t="shared" si="0"/>
        <v>994.1123250542698</v>
      </c>
      <c r="L40" s="1">
        <f t="shared" si="3"/>
        <v>0.03989709892741233</v>
      </c>
      <c r="M40" s="1">
        <f>SQRT(K39*K40)</f>
        <v>891.2021892227199</v>
      </c>
      <c r="N40" s="1">
        <f>0.01*(C16+(C17-C16)/(LN(B17)-LN(B16))*(LN(M40)-LN(B16)))</f>
        <v>0.9145219689367011</v>
      </c>
      <c r="P40" s="11">
        <v>1.6233754420677417E-05</v>
      </c>
      <c r="Q40" s="1">
        <f t="shared" si="1"/>
        <v>0.0051924735666034234</v>
      </c>
      <c r="R40" s="1">
        <f t="shared" si="4"/>
        <v>0.00020716463156475034</v>
      </c>
      <c r="S40" s="11">
        <v>6.3815543107104375E-06</v>
      </c>
      <c r="T40" s="11">
        <f t="shared" si="2"/>
        <v>0.002041182292988349</v>
      </c>
      <c r="U40" s="11">
        <f aca="true" t="shared" si="5" ref="U40:U47">T40*L40</f>
        <v>8.143725187223852E-05</v>
      </c>
    </row>
    <row r="41" spans="2:21" ht="17.25">
      <c r="B41" s="1">
        <v>2639.721</v>
      </c>
      <c r="C41" s="1">
        <v>42</v>
      </c>
      <c r="G41" s="1">
        <v>3.7452370704139133</v>
      </c>
      <c r="H41" s="1">
        <v>5.274803239691146</v>
      </c>
      <c r="I41" s="1">
        <f>F21+(F22-F21)/(E22-E21)*(H41-E21)</f>
        <v>324.0185771025147</v>
      </c>
      <c r="J41" s="1">
        <v>9</v>
      </c>
      <c r="K41" s="1">
        <f t="shared" si="0"/>
        <v>1213.526386467107</v>
      </c>
      <c r="L41" s="1">
        <f t="shared" si="3"/>
        <v>0.1050061729306605</v>
      </c>
      <c r="M41" s="1">
        <f aca="true" t="shared" si="6" ref="M41:M47">SQRT(K40*K41)</f>
        <v>1098.354012859935</v>
      </c>
      <c r="N41" s="1">
        <f>0.01*(C18+(C19-C18)/(LN(B19)-LN(B18))*(LN(M41)-LN(B18)))</f>
        <v>0.8746248700092888</v>
      </c>
      <c r="P41" s="11">
        <v>2.3414269322209638E-05</v>
      </c>
      <c r="Q41" s="1">
        <f t="shared" si="1"/>
        <v>0.007586658229677429</v>
      </c>
      <c r="R41" s="1">
        <f t="shared" si="4"/>
        <v>0.0007966459460313267</v>
      </c>
      <c r="S41" s="11">
        <v>7.5885949868205825E-06</v>
      </c>
      <c r="T41" s="11">
        <f t="shared" si="2"/>
        <v>0.0024588457498368817</v>
      </c>
      <c r="U41" s="11">
        <f t="shared" si="5"/>
        <v>0.0002581939820171912</v>
      </c>
    </row>
    <row r="42" spans="2:21" ht="17.25">
      <c r="B42" s="1">
        <v>2684.824</v>
      </c>
      <c r="C42" s="1">
        <v>40</v>
      </c>
      <c r="G42" s="1">
        <v>4.43756648326046</v>
      </c>
      <c r="H42" s="1">
        <v>5.9689280141453445</v>
      </c>
      <c r="I42" s="1">
        <f>F21+(F22-F21)/(E22-E21)*(H42-E21)</f>
        <v>327.3861633974046</v>
      </c>
      <c r="J42" s="1">
        <v>10</v>
      </c>
      <c r="K42" s="1">
        <f t="shared" si="0"/>
        <v>1452.797865775555</v>
      </c>
      <c r="L42" s="1">
        <f t="shared" si="3"/>
        <v>0.10988111370094933</v>
      </c>
      <c r="M42" s="1">
        <f t="shared" si="6"/>
        <v>1327.7833197934572</v>
      </c>
      <c r="N42" s="1">
        <f>0.01*(C23+(C24-C23)/(LN(B24)-LN(B23))*(LN(M42)-LN(B23)))</f>
        <v>0.7696186970786283</v>
      </c>
      <c r="P42" s="11">
        <v>3.3326403529306635E-05</v>
      </c>
      <c r="Q42" s="1">
        <f t="shared" si="1"/>
        <v>0.010910603391293423</v>
      </c>
      <c r="R42" s="1">
        <f t="shared" si="4"/>
        <v>0.001198869251784676</v>
      </c>
      <c r="S42" s="11">
        <v>8.877124961302353E-06</v>
      </c>
      <c r="T42" s="11">
        <f t="shared" si="2"/>
        <v>0.002906247883080111</v>
      </c>
      <c r="U42" s="11">
        <f t="shared" si="5"/>
        <v>0.000319341754083869</v>
      </c>
    </row>
    <row r="43" spans="2:21" ht="17.25">
      <c r="B43" s="1">
        <v>2719.726</v>
      </c>
      <c r="C43" s="1">
        <v>38</v>
      </c>
      <c r="G43" s="1">
        <v>5.184346758270567</v>
      </c>
      <c r="H43" s="1">
        <v>6.679742096415017</v>
      </c>
      <c r="I43" s="1">
        <f>F22+(F23-F22)/(E23-E22)*(H43-E22)</f>
        <v>332.07847562712016</v>
      </c>
      <c r="J43" s="1">
        <v>11</v>
      </c>
      <c r="K43" s="1">
        <f t="shared" si="0"/>
        <v>1721.609968608892</v>
      </c>
      <c r="L43" s="1">
        <f t="shared" si="3"/>
        <v>0.047115767498053795</v>
      </c>
      <c r="M43" s="1">
        <f t="shared" si="6"/>
        <v>1581.5028574406429</v>
      </c>
      <c r="N43" s="1">
        <f>0.01*(C29+(C30-C29)/(LN(B30)-LN(B29))*(LN(M43)-LN(B29)))</f>
        <v>0.659737583377679</v>
      </c>
      <c r="P43" s="11">
        <v>4.677636928992094E-05</v>
      </c>
      <c r="Q43" s="1">
        <f t="shared" si="1"/>
        <v>0.015533425409168184</v>
      </c>
      <c r="R43" s="1">
        <f t="shared" si="4"/>
        <v>0.0007318692600267293</v>
      </c>
      <c r="S43" s="11">
        <v>1.0243984853679481E-05</v>
      </c>
      <c r="T43" s="11">
        <f t="shared" si="2"/>
        <v>0.0034018068745571895</v>
      </c>
      <c r="U43" s="11">
        <f t="shared" si="5"/>
        <v>0.00016027874177491758</v>
      </c>
    </row>
    <row r="44" spans="2:21" ht="17.25">
      <c r="B44" s="1">
        <v>2744.989</v>
      </c>
      <c r="C44" s="1">
        <v>36</v>
      </c>
      <c r="G44" s="1">
        <v>5.985001546979631</v>
      </c>
      <c r="H44" s="1">
        <v>7.405890629155344</v>
      </c>
      <c r="I44" s="1">
        <f>F23+(F24-F23)/(E24-E23)*(H44-E23)</f>
        <v>336.12053649026444</v>
      </c>
      <c r="J44" s="1">
        <v>12</v>
      </c>
      <c r="K44" s="1">
        <f t="shared" si="0"/>
        <v>2011.6819308658562</v>
      </c>
      <c r="L44" s="1">
        <f t="shared" si="3"/>
        <v>0.05563993169557335</v>
      </c>
      <c r="M44" s="1">
        <f t="shared" si="6"/>
        <v>1861.002865620857</v>
      </c>
      <c r="N44" s="1">
        <f>0.01*(C31+(C32-C31)/(LN(B32)-LN(B31))*(LN(M44)-LN(B31)))</f>
        <v>0.6126218158796252</v>
      </c>
      <c r="P44" s="11">
        <v>6.472084614954723E-05</v>
      </c>
      <c r="Q44" s="1">
        <f t="shared" si="1"/>
        <v>0.02175400552988968</v>
      </c>
      <c r="R44" s="1">
        <f t="shared" si="4"/>
        <v>0.001210391381788187</v>
      </c>
      <c r="S44" s="11">
        <v>1.1686352028581703E-05</v>
      </c>
      <c r="T44" s="11">
        <f t="shared" si="2"/>
        <v>0.003928022913460972</v>
      </c>
      <c r="U44" s="11">
        <f t="shared" si="5"/>
        <v>0.00021855492660361554</v>
      </c>
    </row>
    <row r="45" spans="2:21" ht="17.25">
      <c r="B45" s="1">
        <v>2801.848</v>
      </c>
      <c r="C45" s="1">
        <v>34</v>
      </c>
      <c r="G45" s="1">
        <v>6.839003903038159</v>
      </c>
      <c r="H45" s="1">
        <v>8.146232908812166</v>
      </c>
      <c r="I45" s="1">
        <f>F24+(F25-F24)/(E25-E24)*(H45-E24)</f>
        <v>340.802112138911</v>
      </c>
      <c r="J45" s="1">
        <v>13</v>
      </c>
      <c r="K45" s="1">
        <f t="shared" si="0"/>
        <v>2330.746975081661</v>
      </c>
      <c r="L45" s="1">
        <f t="shared" si="3"/>
        <v>0.0987171919916025</v>
      </c>
      <c r="M45" s="1">
        <f t="shared" si="6"/>
        <v>2165.345601790169</v>
      </c>
      <c r="N45" s="1">
        <f>0.01*(C34+(C35-C34)/(LN(B35)-LN(B34))*(LN(M45)-LN(B34)))</f>
        <v>0.5569818841840518</v>
      </c>
      <c r="P45" s="11">
        <v>8.827867384795806E-05</v>
      </c>
      <c r="Q45" s="1">
        <f t="shared" si="1"/>
        <v>0.030085558504206154</v>
      </c>
      <c r="R45" s="1">
        <f t="shared" si="4"/>
        <v>0.0029699618550343082</v>
      </c>
      <c r="S45" s="11">
        <v>1.3201685234255449E-05</v>
      </c>
      <c r="T45" s="11">
        <f t="shared" si="2"/>
        <v>0.004499162211627331</v>
      </c>
      <c r="U45" s="11">
        <f t="shared" si="5"/>
        <v>0.0004441446598465782</v>
      </c>
    </row>
    <row r="46" spans="2:21" ht="17.25">
      <c r="B46" s="1">
        <v>2895.641</v>
      </c>
      <c r="C46" s="1">
        <v>32</v>
      </c>
      <c r="G46" s="1">
        <v>7.745868885808259</v>
      </c>
      <c r="H46" s="1">
        <v>8.899795935434113</v>
      </c>
      <c r="I46" s="1">
        <f>F25+(F26-F25)/(E26-E25)*(H46-E25)</f>
        <v>350.02785415078074</v>
      </c>
      <c r="J46" s="1">
        <v>14</v>
      </c>
      <c r="K46" s="1">
        <f t="shared" si="0"/>
        <v>2711.269864632764</v>
      </c>
      <c r="L46" s="1">
        <f t="shared" si="3"/>
        <v>0.1307905538828153</v>
      </c>
      <c r="M46" s="1">
        <f t="shared" si="6"/>
        <v>2513.8186162933234</v>
      </c>
      <c r="N46" s="1">
        <f>0.01*(C39+(C40-C39)/(LN(B40)-LN(B39))*(LN(M46)-LN(B39)))</f>
        <v>0.4582646921924493</v>
      </c>
      <c r="P46" s="11">
        <v>0.00011874222885168331</v>
      </c>
      <c r="Q46" s="1">
        <f t="shared" si="1"/>
        <v>0.04156308756203564</v>
      </c>
      <c r="R46" s="1">
        <f t="shared" si="4"/>
        <v>0.005436059243318593</v>
      </c>
      <c r="S46" s="11">
        <v>1.4787681120720747E-05</v>
      </c>
      <c r="T46" s="11">
        <f t="shared" si="2"/>
        <v>0.005176100290551895</v>
      </c>
      <c r="U46" s="11">
        <f t="shared" si="5"/>
        <v>0.0006769850239542836</v>
      </c>
    </row>
    <row r="47" spans="2:21" ht="17.25">
      <c r="B47" s="1">
        <v>3002.18</v>
      </c>
      <c r="C47" s="1">
        <v>30</v>
      </c>
      <c r="G47" s="1">
        <v>8.431290968333803</v>
      </c>
      <c r="H47" s="1">
        <v>9.450071872339114</v>
      </c>
      <c r="I47" s="1">
        <f>F25+(F26-F25)/(E26-E25)*(H47-E25)</f>
        <v>357.8775728582519</v>
      </c>
      <c r="J47" s="1">
        <v>15</v>
      </c>
      <c r="K47" s="1">
        <f t="shared" si="0"/>
        <v>3017.3699478090016</v>
      </c>
      <c r="L47" s="1">
        <f t="shared" si="3"/>
        <v>0.04416808449395554</v>
      </c>
      <c r="M47" s="1">
        <f t="shared" si="6"/>
        <v>2860.227999643225</v>
      </c>
      <c r="N47" s="1">
        <f>0.01*(C45+(C46-C45)/(LN(B46)-LN(B45))*(LN(M47)-LN(B45)))</f>
        <v>0.327474138309634</v>
      </c>
      <c r="P47" s="11">
        <v>0.00014577363206757032</v>
      </c>
      <c r="Q47" s="1">
        <f t="shared" si="1"/>
        <v>0.0521691136310739</v>
      </c>
      <c r="R47" s="1">
        <f t="shared" si="4"/>
        <v>0.0023042098188320397</v>
      </c>
      <c r="S47" s="11">
        <v>1.5972166331974367E-05</v>
      </c>
      <c r="T47" s="11">
        <f t="shared" si="2"/>
        <v>0.005716080120175274</v>
      </c>
      <c r="U47" s="11">
        <f t="shared" si="5"/>
        <v>0.00025246830972212105</v>
      </c>
    </row>
    <row r="48" spans="2:21" ht="17.25">
      <c r="B48" s="1">
        <v>3059.588</v>
      </c>
      <c r="C48" s="1">
        <v>28</v>
      </c>
      <c r="M48" s="1">
        <f>K47</f>
        <v>3017.3699478090016</v>
      </c>
      <c r="N48" s="1">
        <f>0.01*(C49+(C50-C49)/(LN(B50)-LN(B49))*(LN(M48)-LN(B49)))</f>
        <v>0.28330605381567847</v>
      </c>
      <c r="P48" s="11"/>
      <c r="S48" s="11"/>
      <c r="T48" s="11"/>
      <c r="U48" s="11"/>
    </row>
    <row r="49" spans="2:20" ht="17.25">
      <c r="B49" s="1">
        <v>3154.987</v>
      </c>
      <c r="C49" s="1">
        <v>26</v>
      </c>
      <c r="T49" s="11"/>
    </row>
    <row r="50" spans="2:21" ht="17.25">
      <c r="B50" s="1">
        <v>3278.076</v>
      </c>
      <c r="C50" s="1">
        <v>24</v>
      </c>
      <c r="J50" s="1">
        <v>16</v>
      </c>
      <c r="K50" s="1" t="s">
        <v>60</v>
      </c>
      <c r="L50" s="1">
        <f>N48</f>
        <v>0.28330605381567847</v>
      </c>
      <c r="Q50" s="1">
        <f>Q47</f>
        <v>0.0521691136310739</v>
      </c>
      <c r="R50" s="1">
        <f>Q50*L50</f>
        <v>0.014779825713881267</v>
      </c>
      <c r="S50" s="11"/>
      <c r="T50" s="11">
        <f>T47</f>
        <v>0.005716080120175274</v>
      </c>
      <c r="U50" s="1">
        <f>T50*L50</f>
        <v>0.0016194001021411061</v>
      </c>
    </row>
    <row r="51" spans="2:3" ht="17.25">
      <c r="B51" s="1">
        <v>3393.35</v>
      </c>
      <c r="C51" s="1">
        <v>22</v>
      </c>
    </row>
    <row r="52" spans="2:5" ht="19.5">
      <c r="B52" s="1">
        <v>3472.842</v>
      </c>
      <c r="C52" s="1">
        <v>20</v>
      </c>
      <c r="E52" s="1" t="s">
        <v>94</v>
      </c>
    </row>
    <row r="53" spans="2:5" ht="19.5">
      <c r="B53" s="1">
        <v>3574.973</v>
      </c>
      <c r="C53" s="1">
        <v>18</v>
      </c>
      <c r="E53" s="1" t="s">
        <v>95</v>
      </c>
    </row>
    <row r="54" spans="2:21" ht="21">
      <c r="B54" s="1">
        <v>3680.233</v>
      </c>
      <c r="C54" s="1">
        <v>16</v>
      </c>
      <c r="F54" s="1" t="s">
        <v>96</v>
      </c>
      <c r="K54" s="1" t="s">
        <v>80</v>
      </c>
      <c r="Q54" s="1" t="s">
        <v>107</v>
      </c>
      <c r="R54" s="1">
        <f>SUM(R40:R53)</f>
        <v>0.029634997102261876</v>
      </c>
      <c r="T54" s="1" t="s">
        <v>83</v>
      </c>
      <c r="U54" s="1">
        <f>SUM(U40:U53)</f>
        <v>0.004030804752015921</v>
      </c>
    </row>
    <row r="55" spans="2:23" ht="19.5">
      <c r="B55" s="1">
        <v>3761.936</v>
      </c>
      <c r="C55" s="1">
        <v>14</v>
      </c>
      <c r="E55"/>
      <c r="K55" s="1" t="s">
        <v>81</v>
      </c>
      <c r="Q55" s="1" t="s">
        <v>108</v>
      </c>
      <c r="R55" s="1">
        <f>R54*2.65*60*60*24*365.25/1000000</f>
        <v>2.478304869068999</v>
      </c>
      <c r="T55" s="1" t="s">
        <v>82</v>
      </c>
      <c r="U55" s="1">
        <f>U54*2.65*60*60*24*365.25/1000000</f>
        <v>0.3370866887118767</v>
      </c>
      <c r="W55" s="1">
        <f>R55-U55</f>
        <v>2.1412181803571224</v>
      </c>
    </row>
    <row r="56" spans="2:3" ht="17.25">
      <c r="B56" s="1">
        <v>3910.451</v>
      </c>
      <c r="C56" s="1">
        <v>12</v>
      </c>
    </row>
    <row r="57" spans="2:20" ht="17.25">
      <c r="B57" s="1">
        <v>3984.229</v>
      </c>
      <c r="C57" s="1">
        <v>10</v>
      </c>
      <c r="E57"/>
      <c r="M57"/>
      <c r="R57" s="1" t="s">
        <v>61</v>
      </c>
      <c r="T57" s="1">
        <f>U55/R55</f>
        <v>0.13601502096007534</v>
      </c>
    </row>
    <row r="58" spans="2:3" ht="17.25">
      <c r="B58" s="1">
        <v>4033.502</v>
      </c>
      <c r="C58" s="1">
        <v>8</v>
      </c>
    </row>
    <row r="59" spans="2:15" ht="17.25">
      <c r="B59" s="1">
        <v>4123.402</v>
      </c>
      <c r="C59" s="1">
        <v>6</v>
      </c>
      <c r="O59" s="1" t="s">
        <v>109</v>
      </c>
    </row>
    <row r="60" spans="2:3" ht="17.25">
      <c r="B60" s="1">
        <v>4223.934</v>
      </c>
      <c r="C60" s="1">
        <v>4</v>
      </c>
    </row>
    <row r="61" spans="2:15" ht="17.25">
      <c r="B61" s="1">
        <v>4300.225</v>
      </c>
      <c r="C61" s="1">
        <v>2</v>
      </c>
      <c r="O61" s="1" t="s">
        <v>110</v>
      </c>
    </row>
    <row r="62" spans="2:12" ht="17.25">
      <c r="B62" s="1">
        <v>4516.403</v>
      </c>
      <c r="C62" s="1">
        <v>0</v>
      </c>
      <c r="L62"/>
    </row>
    <row r="67" spans="2:3" ht="17.25">
      <c r="B67" s="1" t="str">
        <f aca="true" t="shared" si="7" ref="B67:C86">B11</f>
        <v>Q (m3/s)</v>
      </c>
      <c r="C67" s="1" t="str">
        <f t="shared" si="7"/>
        <v>% Exceeded</v>
      </c>
    </row>
    <row r="68" spans="2:3" ht="17.25">
      <c r="B68" s="1">
        <f t="shared" si="7"/>
        <v>513.706</v>
      </c>
      <c r="C68" s="1">
        <f t="shared" si="7"/>
        <v>100</v>
      </c>
    </row>
    <row r="69" spans="2:7" ht="17.25">
      <c r="B69" s="1">
        <f t="shared" si="7"/>
        <v>610.46</v>
      </c>
      <c r="C69" s="1">
        <f t="shared" si="7"/>
        <v>98</v>
      </c>
      <c r="E69" s="1">
        <f>0.5*(B68+B69)</f>
        <v>562.0830000000001</v>
      </c>
      <c r="F69" s="1">
        <f aca="true" t="shared" si="8" ref="F69:F100">(C68-C69)/100</f>
        <v>0.02</v>
      </c>
      <c r="G69" s="1">
        <f>F69*E69</f>
        <v>11.241660000000001</v>
      </c>
    </row>
    <row r="70" spans="2:7" ht="17.25">
      <c r="B70" s="1">
        <f t="shared" si="7"/>
        <v>683.751</v>
      </c>
      <c r="C70" s="1">
        <f t="shared" si="7"/>
        <v>96</v>
      </c>
      <c r="E70" s="1">
        <f aca="true" t="shared" si="9" ref="E70:E118">0.5*(B69+B70)</f>
        <v>647.1055</v>
      </c>
      <c r="F70" s="1">
        <f t="shared" si="8"/>
        <v>0.02</v>
      </c>
      <c r="G70" s="1">
        <f aca="true" t="shared" si="10" ref="G70:G118">F70*E70</f>
        <v>12.94211</v>
      </c>
    </row>
    <row r="71" spans="2:7" ht="17.25">
      <c r="B71" s="1">
        <f t="shared" si="7"/>
        <v>750.054</v>
      </c>
      <c r="C71" s="1">
        <f t="shared" si="7"/>
        <v>94</v>
      </c>
      <c r="E71" s="1">
        <f t="shared" si="9"/>
        <v>716.9024999999999</v>
      </c>
      <c r="F71" s="1">
        <f t="shared" si="8"/>
        <v>0.02</v>
      </c>
      <c r="G71" s="1">
        <f t="shared" si="10"/>
        <v>14.338049999999999</v>
      </c>
    </row>
    <row r="72" spans="2:7" ht="17.25">
      <c r="B72" s="1">
        <f t="shared" si="7"/>
        <v>843.016</v>
      </c>
      <c r="C72" s="1">
        <f t="shared" si="7"/>
        <v>92</v>
      </c>
      <c r="E72" s="1">
        <f t="shared" si="9"/>
        <v>796.535</v>
      </c>
      <c r="F72" s="1">
        <f t="shared" si="8"/>
        <v>0.02</v>
      </c>
      <c r="G72" s="1">
        <f t="shared" si="10"/>
        <v>15.9307</v>
      </c>
    </row>
    <row r="73" spans="2:7" ht="17.25">
      <c r="B73" s="1">
        <f t="shared" si="7"/>
        <v>1032.693</v>
      </c>
      <c r="C73" s="1">
        <f t="shared" si="7"/>
        <v>90</v>
      </c>
      <c r="E73" s="1">
        <f t="shared" si="9"/>
        <v>937.8544999999999</v>
      </c>
      <c r="F73" s="1">
        <f t="shared" si="8"/>
        <v>0.02</v>
      </c>
      <c r="G73" s="1">
        <f t="shared" si="10"/>
        <v>18.757089999999998</v>
      </c>
    </row>
    <row r="74" spans="2:7" ht="17.25">
      <c r="B74" s="1">
        <f t="shared" si="7"/>
        <v>1088.924</v>
      </c>
      <c r="C74" s="1">
        <f t="shared" si="7"/>
        <v>88</v>
      </c>
      <c r="E74" s="1">
        <f t="shared" si="9"/>
        <v>1060.8085</v>
      </c>
      <c r="F74" s="1">
        <f t="shared" si="8"/>
        <v>0.02</v>
      </c>
      <c r="G74" s="1">
        <f t="shared" si="10"/>
        <v>21.21617</v>
      </c>
    </row>
    <row r="75" spans="2:7" ht="17.25">
      <c r="B75" s="1">
        <f t="shared" si="7"/>
        <v>1124.427</v>
      </c>
      <c r="C75" s="1">
        <f t="shared" si="7"/>
        <v>86</v>
      </c>
      <c r="E75" s="1">
        <f t="shared" si="9"/>
        <v>1106.6754999999998</v>
      </c>
      <c r="F75" s="1">
        <f t="shared" si="8"/>
        <v>0.02</v>
      </c>
      <c r="G75" s="1">
        <f t="shared" si="10"/>
        <v>22.133509999999998</v>
      </c>
    </row>
    <row r="76" spans="2:7" ht="17.25">
      <c r="B76" s="1">
        <f t="shared" si="7"/>
        <v>1190.476</v>
      </c>
      <c r="C76" s="1">
        <f t="shared" si="7"/>
        <v>84</v>
      </c>
      <c r="E76" s="1">
        <f t="shared" si="9"/>
        <v>1157.4515000000001</v>
      </c>
      <c r="F76" s="1">
        <f t="shared" si="8"/>
        <v>0.02</v>
      </c>
      <c r="G76" s="1">
        <f t="shared" si="10"/>
        <v>23.149030000000003</v>
      </c>
    </row>
    <row r="77" spans="2:7" ht="17.25">
      <c r="B77" s="1">
        <f t="shared" si="7"/>
        <v>1223.759</v>
      </c>
      <c r="C77" s="1">
        <f t="shared" si="7"/>
        <v>82</v>
      </c>
      <c r="E77" s="1">
        <f t="shared" si="9"/>
        <v>1207.1175</v>
      </c>
      <c r="F77" s="1">
        <f t="shared" si="8"/>
        <v>0.02</v>
      </c>
      <c r="G77" s="1">
        <f t="shared" si="10"/>
        <v>24.14235</v>
      </c>
    </row>
    <row r="78" spans="2:7" ht="17.25">
      <c r="B78" s="1">
        <f t="shared" si="7"/>
        <v>1268.927</v>
      </c>
      <c r="C78" s="1">
        <f t="shared" si="7"/>
        <v>80</v>
      </c>
      <c r="E78" s="1">
        <f t="shared" si="9"/>
        <v>1246.3429999999998</v>
      </c>
      <c r="F78" s="1">
        <f t="shared" si="8"/>
        <v>0.02</v>
      </c>
      <c r="G78" s="1">
        <f t="shared" si="10"/>
        <v>24.926859999999998</v>
      </c>
    </row>
    <row r="79" spans="2:7" ht="17.25">
      <c r="B79" s="1">
        <f t="shared" si="7"/>
        <v>1309.638</v>
      </c>
      <c r="C79" s="1">
        <f t="shared" si="7"/>
        <v>78</v>
      </c>
      <c r="E79" s="1">
        <f t="shared" si="9"/>
        <v>1289.2824999999998</v>
      </c>
      <c r="F79" s="1">
        <f t="shared" si="8"/>
        <v>0.02</v>
      </c>
      <c r="G79" s="1">
        <f t="shared" si="10"/>
        <v>25.785649999999997</v>
      </c>
    </row>
    <row r="80" spans="2:7" ht="17.25">
      <c r="B80" s="1">
        <f t="shared" si="7"/>
        <v>1344.82</v>
      </c>
      <c r="C80" s="1">
        <f t="shared" si="7"/>
        <v>76</v>
      </c>
      <c r="E80" s="1">
        <f t="shared" si="9"/>
        <v>1327.2289999999998</v>
      </c>
      <c r="F80" s="1">
        <f t="shared" si="8"/>
        <v>0.02</v>
      </c>
      <c r="G80" s="1">
        <f t="shared" si="10"/>
        <v>26.544579999999996</v>
      </c>
    </row>
    <row r="81" spans="2:7" ht="17.25">
      <c r="B81" s="1">
        <f t="shared" si="7"/>
        <v>1379.085</v>
      </c>
      <c r="C81" s="1">
        <f t="shared" si="7"/>
        <v>74</v>
      </c>
      <c r="E81" s="1">
        <f t="shared" si="9"/>
        <v>1361.9524999999999</v>
      </c>
      <c r="F81" s="1">
        <f t="shared" si="8"/>
        <v>0.02</v>
      </c>
      <c r="G81" s="1">
        <f t="shared" si="10"/>
        <v>27.23905</v>
      </c>
    </row>
    <row r="82" spans="2:7" ht="17.25">
      <c r="B82" s="1">
        <f t="shared" si="7"/>
        <v>1415.296</v>
      </c>
      <c r="C82" s="1">
        <f t="shared" si="7"/>
        <v>72</v>
      </c>
      <c r="E82" s="1">
        <f t="shared" si="9"/>
        <v>1397.1905000000002</v>
      </c>
      <c r="F82" s="1">
        <f t="shared" si="8"/>
        <v>0.02</v>
      </c>
      <c r="G82" s="1">
        <f t="shared" si="10"/>
        <v>27.943810000000003</v>
      </c>
    </row>
    <row r="83" spans="2:7" ht="17.25">
      <c r="B83" s="1">
        <f t="shared" si="7"/>
        <v>1457.37</v>
      </c>
      <c r="C83" s="1">
        <f t="shared" si="7"/>
        <v>70</v>
      </c>
      <c r="E83" s="1">
        <f t="shared" si="9"/>
        <v>1436.333</v>
      </c>
      <c r="F83" s="1">
        <f t="shared" si="8"/>
        <v>0.02</v>
      </c>
      <c r="G83" s="1">
        <f t="shared" si="10"/>
        <v>28.726660000000003</v>
      </c>
    </row>
    <row r="84" spans="2:7" ht="17.25">
      <c r="B84" s="1">
        <f t="shared" si="7"/>
        <v>1511.171</v>
      </c>
      <c r="C84" s="1">
        <f t="shared" si="7"/>
        <v>68</v>
      </c>
      <c r="E84" s="1">
        <f t="shared" si="9"/>
        <v>1484.2705</v>
      </c>
      <c r="F84" s="1">
        <f t="shared" si="8"/>
        <v>0.02</v>
      </c>
      <c r="G84" s="1">
        <f t="shared" si="10"/>
        <v>29.68541</v>
      </c>
    </row>
    <row r="85" spans="2:7" ht="17.25">
      <c r="B85" s="1">
        <f t="shared" si="7"/>
        <v>1579.878</v>
      </c>
      <c r="C85" s="1">
        <f t="shared" si="7"/>
        <v>66</v>
      </c>
      <c r="E85" s="1">
        <f t="shared" si="9"/>
        <v>1545.5245</v>
      </c>
      <c r="F85" s="1">
        <f t="shared" si="8"/>
        <v>0.02</v>
      </c>
      <c r="G85" s="1">
        <f t="shared" si="10"/>
        <v>30.91049</v>
      </c>
    </row>
    <row r="86" spans="2:7" ht="17.25">
      <c r="B86" s="1">
        <f t="shared" si="7"/>
        <v>1708.63</v>
      </c>
      <c r="C86" s="1">
        <f t="shared" si="7"/>
        <v>64</v>
      </c>
      <c r="E86" s="1">
        <f t="shared" si="9"/>
        <v>1644.254</v>
      </c>
      <c r="F86" s="1">
        <f t="shared" si="8"/>
        <v>0.02</v>
      </c>
      <c r="G86" s="1">
        <f t="shared" si="10"/>
        <v>32.88508</v>
      </c>
    </row>
    <row r="87" spans="2:7" ht="17.25">
      <c r="B87" s="1">
        <f aca="true" t="shared" si="11" ref="B87:C106">B31</f>
        <v>1832.36</v>
      </c>
      <c r="C87" s="1">
        <f t="shared" si="11"/>
        <v>62</v>
      </c>
      <c r="E87" s="1">
        <f t="shared" si="9"/>
        <v>1770.495</v>
      </c>
      <c r="F87" s="1">
        <f t="shared" si="8"/>
        <v>0.02</v>
      </c>
      <c r="G87" s="1">
        <f t="shared" si="10"/>
        <v>35.4099</v>
      </c>
    </row>
    <row r="88" spans="2:7" ht="17.25">
      <c r="B88" s="1">
        <f t="shared" si="11"/>
        <v>1911.044</v>
      </c>
      <c r="C88" s="1">
        <f t="shared" si="11"/>
        <v>60</v>
      </c>
      <c r="E88" s="1">
        <f t="shared" si="9"/>
        <v>1871.702</v>
      </c>
      <c r="F88" s="1">
        <f t="shared" si="8"/>
        <v>0.02</v>
      </c>
      <c r="G88" s="1">
        <f t="shared" si="10"/>
        <v>37.43404</v>
      </c>
    </row>
    <row r="89" spans="2:7" ht="17.25">
      <c r="B89" s="1">
        <f t="shared" si="11"/>
        <v>2020.893</v>
      </c>
      <c r="C89" s="1">
        <f t="shared" si="11"/>
        <v>58</v>
      </c>
      <c r="E89" s="1">
        <f t="shared" si="9"/>
        <v>1965.9685</v>
      </c>
      <c r="F89" s="1">
        <f t="shared" si="8"/>
        <v>0.02</v>
      </c>
      <c r="G89" s="1">
        <f t="shared" si="10"/>
        <v>39.31937</v>
      </c>
    </row>
    <row r="90" spans="2:7" ht="17.25">
      <c r="B90" s="1">
        <f t="shared" si="11"/>
        <v>2158.46</v>
      </c>
      <c r="C90" s="1">
        <f t="shared" si="11"/>
        <v>56</v>
      </c>
      <c r="E90" s="1">
        <f t="shared" si="9"/>
        <v>2089.6765</v>
      </c>
      <c r="F90" s="1">
        <f t="shared" si="8"/>
        <v>0.02</v>
      </c>
      <c r="G90" s="1">
        <f t="shared" si="10"/>
        <v>41.793530000000004</v>
      </c>
    </row>
    <row r="91" spans="2:7" ht="17.25">
      <c r="B91" s="1">
        <f t="shared" si="11"/>
        <v>2204.5</v>
      </c>
      <c r="C91" s="1">
        <f t="shared" si="11"/>
        <v>54</v>
      </c>
      <c r="E91" s="1">
        <f t="shared" si="9"/>
        <v>2181.48</v>
      </c>
      <c r="F91" s="1">
        <f t="shared" si="8"/>
        <v>0.02</v>
      </c>
      <c r="G91" s="1">
        <f t="shared" si="10"/>
        <v>43.6296</v>
      </c>
    </row>
    <row r="92" spans="2:7" ht="17.25">
      <c r="B92" s="1">
        <f t="shared" si="11"/>
        <v>2270.617</v>
      </c>
      <c r="C92" s="1">
        <f t="shared" si="11"/>
        <v>52</v>
      </c>
      <c r="E92" s="1">
        <f t="shared" si="9"/>
        <v>2237.5585</v>
      </c>
      <c r="F92" s="1">
        <f t="shared" si="8"/>
        <v>0.02</v>
      </c>
      <c r="G92" s="1">
        <f t="shared" si="10"/>
        <v>44.75117</v>
      </c>
    </row>
    <row r="93" spans="2:7" ht="17.25">
      <c r="B93" s="1">
        <f t="shared" si="11"/>
        <v>2374.195</v>
      </c>
      <c r="C93" s="1">
        <f t="shared" si="11"/>
        <v>50</v>
      </c>
      <c r="E93" s="1">
        <f t="shared" si="9"/>
        <v>2322.406</v>
      </c>
      <c r="F93" s="1">
        <f t="shared" si="8"/>
        <v>0.02</v>
      </c>
      <c r="G93" s="1">
        <f t="shared" si="10"/>
        <v>46.44812</v>
      </c>
    </row>
    <row r="94" spans="2:7" ht="17.25">
      <c r="B94" s="1">
        <f t="shared" si="11"/>
        <v>2437.901</v>
      </c>
      <c r="C94" s="1">
        <f t="shared" si="11"/>
        <v>48</v>
      </c>
      <c r="E94" s="1">
        <f t="shared" si="9"/>
        <v>2406.048</v>
      </c>
      <c r="F94" s="1">
        <f t="shared" si="8"/>
        <v>0.02</v>
      </c>
      <c r="G94" s="1">
        <f t="shared" si="10"/>
        <v>48.12096</v>
      </c>
    </row>
    <row r="95" spans="2:7" ht="17.25">
      <c r="B95" s="1">
        <f t="shared" si="11"/>
        <v>2508.484</v>
      </c>
      <c r="C95" s="1">
        <f t="shared" si="11"/>
        <v>46</v>
      </c>
      <c r="E95" s="1">
        <f t="shared" si="9"/>
        <v>2473.1925</v>
      </c>
      <c r="F95" s="1">
        <f t="shared" si="8"/>
        <v>0.02</v>
      </c>
      <c r="G95" s="1">
        <f t="shared" si="10"/>
        <v>49.46385</v>
      </c>
    </row>
    <row r="96" spans="2:7" ht="17.25">
      <c r="B96" s="1">
        <f t="shared" si="11"/>
        <v>2570.66</v>
      </c>
      <c r="C96" s="1">
        <f t="shared" si="11"/>
        <v>44</v>
      </c>
      <c r="E96" s="1">
        <f t="shared" si="9"/>
        <v>2539.572</v>
      </c>
      <c r="F96" s="1">
        <f t="shared" si="8"/>
        <v>0.02</v>
      </c>
      <c r="G96" s="1">
        <f t="shared" si="10"/>
        <v>50.79144</v>
      </c>
    </row>
    <row r="97" spans="2:7" ht="17.25">
      <c r="B97" s="1">
        <f t="shared" si="11"/>
        <v>2639.721</v>
      </c>
      <c r="C97" s="1">
        <f t="shared" si="11"/>
        <v>42</v>
      </c>
      <c r="E97" s="1">
        <f t="shared" si="9"/>
        <v>2605.1904999999997</v>
      </c>
      <c r="F97" s="1">
        <f t="shared" si="8"/>
        <v>0.02</v>
      </c>
      <c r="G97" s="1">
        <f t="shared" si="10"/>
        <v>52.103809999999996</v>
      </c>
    </row>
    <row r="98" spans="2:7" ht="17.25">
      <c r="B98" s="1">
        <f t="shared" si="11"/>
        <v>2684.824</v>
      </c>
      <c r="C98" s="1">
        <f t="shared" si="11"/>
        <v>40</v>
      </c>
      <c r="E98" s="1">
        <f t="shared" si="9"/>
        <v>2662.2725</v>
      </c>
      <c r="F98" s="1">
        <f t="shared" si="8"/>
        <v>0.02</v>
      </c>
      <c r="G98" s="1">
        <f t="shared" si="10"/>
        <v>53.245450000000005</v>
      </c>
    </row>
    <row r="99" spans="2:7" ht="17.25">
      <c r="B99" s="1">
        <f t="shared" si="11"/>
        <v>2719.726</v>
      </c>
      <c r="C99" s="1">
        <f t="shared" si="11"/>
        <v>38</v>
      </c>
      <c r="E99" s="1">
        <f t="shared" si="9"/>
        <v>2702.275</v>
      </c>
      <c r="F99" s="1">
        <f t="shared" si="8"/>
        <v>0.02</v>
      </c>
      <c r="G99" s="1">
        <f t="shared" si="10"/>
        <v>54.045500000000004</v>
      </c>
    </row>
    <row r="100" spans="2:7" ht="17.25">
      <c r="B100" s="1">
        <f t="shared" si="11"/>
        <v>2744.989</v>
      </c>
      <c r="C100" s="1">
        <f t="shared" si="11"/>
        <v>36</v>
      </c>
      <c r="E100" s="1">
        <f t="shared" si="9"/>
        <v>2732.3575</v>
      </c>
      <c r="F100" s="1">
        <f t="shared" si="8"/>
        <v>0.02</v>
      </c>
      <c r="G100" s="1">
        <f t="shared" si="10"/>
        <v>54.64715</v>
      </c>
    </row>
    <row r="101" spans="2:7" ht="17.25">
      <c r="B101" s="1">
        <f t="shared" si="11"/>
        <v>2801.848</v>
      </c>
      <c r="C101" s="1">
        <f t="shared" si="11"/>
        <v>34</v>
      </c>
      <c r="E101" s="1">
        <f t="shared" si="9"/>
        <v>2773.4184999999998</v>
      </c>
      <c r="F101" s="1">
        <f aca="true" t="shared" si="12" ref="F101:F118">(C100-C101)/100</f>
        <v>0.02</v>
      </c>
      <c r="G101" s="1">
        <f t="shared" si="10"/>
        <v>55.46836999999999</v>
      </c>
    </row>
    <row r="102" spans="2:7" ht="17.25">
      <c r="B102" s="1">
        <f t="shared" si="11"/>
        <v>2895.641</v>
      </c>
      <c r="C102" s="1">
        <f t="shared" si="11"/>
        <v>32</v>
      </c>
      <c r="E102" s="1">
        <f t="shared" si="9"/>
        <v>2848.7445</v>
      </c>
      <c r="F102" s="1">
        <f t="shared" si="12"/>
        <v>0.02</v>
      </c>
      <c r="G102" s="1">
        <f t="shared" si="10"/>
        <v>56.974889999999995</v>
      </c>
    </row>
    <row r="103" spans="2:7" ht="17.25">
      <c r="B103" s="1">
        <f t="shared" si="11"/>
        <v>3002.18</v>
      </c>
      <c r="C103" s="1">
        <f t="shared" si="11"/>
        <v>30</v>
      </c>
      <c r="E103" s="1">
        <f t="shared" si="9"/>
        <v>2948.9105</v>
      </c>
      <c r="F103" s="1">
        <f t="shared" si="12"/>
        <v>0.02</v>
      </c>
      <c r="G103" s="1">
        <f t="shared" si="10"/>
        <v>58.97821</v>
      </c>
    </row>
    <row r="104" spans="2:7" ht="17.25">
      <c r="B104" s="1">
        <f t="shared" si="11"/>
        <v>3059.588</v>
      </c>
      <c r="C104" s="1">
        <f t="shared" si="11"/>
        <v>28</v>
      </c>
      <c r="E104" s="1">
        <f t="shared" si="9"/>
        <v>3030.884</v>
      </c>
      <c r="F104" s="1">
        <f t="shared" si="12"/>
        <v>0.02</v>
      </c>
      <c r="G104" s="1">
        <f t="shared" si="10"/>
        <v>60.61768</v>
      </c>
    </row>
    <row r="105" spans="2:7" ht="17.25">
      <c r="B105" s="1">
        <f t="shared" si="11"/>
        <v>3154.987</v>
      </c>
      <c r="C105" s="1">
        <f t="shared" si="11"/>
        <v>26</v>
      </c>
      <c r="E105" s="1">
        <f t="shared" si="9"/>
        <v>3107.2875000000004</v>
      </c>
      <c r="F105" s="1">
        <f t="shared" si="12"/>
        <v>0.02</v>
      </c>
      <c r="G105" s="1">
        <f t="shared" si="10"/>
        <v>62.14575000000001</v>
      </c>
    </row>
    <row r="106" spans="2:7" ht="17.25">
      <c r="B106" s="1">
        <f t="shared" si="11"/>
        <v>3278.076</v>
      </c>
      <c r="C106" s="1">
        <f t="shared" si="11"/>
        <v>24</v>
      </c>
      <c r="E106" s="1">
        <f t="shared" si="9"/>
        <v>3216.5315</v>
      </c>
      <c r="F106" s="1">
        <f t="shared" si="12"/>
        <v>0.02</v>
      </c>
      <c r="G106" s="1">
        <f t="shared" si="10"/>
        <v>64.33063</v>
      </c>
    </row>
    <row r="107" spans="2:7" ht="17.25">
      <c r="B107" s="1">
        <f aca="true" t="shared" si="13" ref="B107:C118">B51</f>
        <v>3393.35</v>
      </c>
      <c r="C107" s="1">
        <f t="shared" si="13"/>
        <v>22</v>
      </c>
      <c r="E107" s="1">
        <f t="shared" si="9"/>
        <v>3335.7129999999997</v>
      </c>
      <c r="F107" s="1">
        <f t="shared" si="12"/>
        <v>0.02</v>
      </c>
      <c r="G107" s="1">
        <f t="shared" si="10"/>
        <v>66.71426</v>
      </c>
    </row>
    <row r="108" spans="2:7" ht="17.25">
      <c r="B108" s="1">
        <f t="shared" si="13"/>
        <v>3472.842</v>
      </c>
      <c r="C108" s="1">
        <f t="shared" si="13"/>
        <v>20</v>
      </c>
      <c r="E108" s="1">
        <f t="shared" si="9"/>
        <v>3433.096</v>
      </c>
      <c r="F108" s="1">
        <f t="shared" si="12"/>
        <v>0.02</v>
      </c>
      <c r="G108" s="1">
        <f t="shared" si="10"/>
        <v>68.66192</v>
      </c>
    </row>
    <row r="109" spans="2:7" ht="17.25">
      <c r="B109" s="1">
        <f t="shared" si="13"/>
        <v>3574.973</v>
      </c>
      <c r="C109" s="1">
        <f t="shared" si="13"/>
        <v>18</v>
      </c>
      <c r="E109" s="1">
        <f t="shared" si="9"/>
        <v>3523.9075000000003</v>
      </c>
      <c r="F109" s="1">
        <f t="shared" si="12"/>
        <v>0.02</v>
      </c>
      <c r="G109" s="1">
        <f t="shared" si="10"/>
        <v>70.47815000000001</v>
      </c>
    </row>
    <row r="110" spans="2:7" ht="17.25">
      <c r="B110" s="1">
        <f t="shared" si="13"/>
        <v>3680.233</v>
      </c>
      <c r="C110" s="1">
        <f t="shared" si="13"/>
        <v>16</v>
      </c>
      <c r="E110" s="1">
        <f t="shared" si="9"/>
        <v>3627.603</v>
      </c>
      <c r="F110" s="1">
        <f t="shared" si="12"/>
        <v>0.02</v>
      </c>
      <c r="G110" s="1">
        <f t="shared" si="10"/>
        <v>72.55206</v>
      </c>
    </row>
    <row r="111" spans="2:7" ht="17.25">
      <c r="B111" s="1">
        <f t="shared" si="13"/>
        <v>3761.936</v>
      </c>
      <c r="C111" s="1">
        <f t="shared" si="13"/>
        <v>14</v>
      </c>
      <c r="E111" s="1">
        <f t="shared" si="9"/>
        <v>3721.0845</v>
      </c>
      <c r="F111" s="1">
        <f t="shared" si="12"/>
        <v>0.02</v>
      </c>
      <c r="G111" s="1">
        <f t="shared" si="10"/>
        <v>74.42169</v>
      </c>
    </row>
    <row r="112" spans="2:7" ht="17.25">
      <c r="B112" s="1">
        <f t="shared" si="13"/>
        <v>3910.451</v>
      </c>
      <c r="C112" s="1">
        <f t="shared" si="13"/>
        <v>12</v>
      </c>
      <c r="E112" s="1">
        <f t="shared" si="9"/>
        <v>3836.1935000000003</v>
      </c>
      <c r="F112" s="1">
        <f t="shared" si="12"/>
        <v>0.02</v>
      </c>
      <c r="G112" s="1">
        <f t="shared" si="10"/>
        <v>76.72387</v>
      </c>
    </row>
    <row r="113" spans="2:7" ht="17.25">
      <c r="B113" s="1">
        <f t="shared" si="13"/>
        <v>3984.229</v>
      </c>
      <c r="C113" s="1">
        <f t="shared" si="13"/>
        <v>10</v>
      </c>
      <c r="E113" s="1">
        <f t="shared" si="9"/>
        <v>3947.34</v>
      </c>
      <c r="F113" s="1">
        <f t="shared" si="12"/>
        <v>0.02</v>
      </c>
      <c r="G113" s="1">
        <f t="shared" si="10"/>
        <v>78.94680000000001</v>
      </c>
    </row>
    <row r="114" spans="2:7" ht="17.25">
      <c r="B114" s="1">
        <f t="shared" si="13"/>
        <v>4033.502</v>
      </c>
      <c r="C114" s="1">
        <f t="shared" si="13"/>
        <v>8</v>
      </c>
      <c r="E114" s="1">
        <f t="shared" si="9"/>
        <v>4008.8655</v>
      </c>
      <c r="F114" s="1">
        <f t="shared" si="12"/>
        <v>0.02</v>
      </c>
      <c r="G114" s="1">
        <f t="shared" si="10"/>
        <v>80.17731</v>
      </c>
    </row>
    <row r="115" spans="2:7" ht="17.25">
      <c r="B115" s="1">
        <f t="shared" si="13"/>
        <v>4123.402</v>
      </c>
      <c r="C115" s="1">
        <f t="shared" si="13"/>
        <v>6</v>
      </c>
      <c r="E115" s="1">
        <f t="shared" si="9"/>
        <v>4078.452</v>
      </c>
      <c r="F115" s="1">
        <f t="shared" si="12"/>
        <v>0.02</v>
      </c>
      <c r="G115" s="1">
        <f t="shared" si="10"/>
        <v>81.56904</v>
      </c>
    </row>
    <row r="116" spans="2:7" ht="17.25">
      <c r="B116" s="1">
        <f t="shared" si="13"/>
        <v>4223.934</v>
      </c>
      <c r="C116" s="1">
        <f t="shared" si="13"/>
        <v>4</v>
      </c>
      <c r="E116" s="1">
        <f t="shared" si="9"/>
        <v>4173.668</v>
      </c>
      <c r="F116" s="1">
        <f t="shared" si="12"/>
        <v>0.02</v>
      </c>
      <c r="G116" s="1">
        <f t="shared" si="10"/>
        <v>83.47336</v>
      </c>
    </row>
    <row r="117" spans="2:7" ht="17.25">
      <c r="B117" s="1">
        <f t="shared" si="13"/>
        <v>4300.225</v>
      </c>
      <c r="C117" s="1">
        <f t="shared" si="13"/>
        <v>2</v>
      </c>
      <c r="E117" s="1">
        <f t="shared" si="9"/>
        <v>4262.0795</v>
      </c>
      <c r="F117" s="1">
        <f t="shared" si="12"/>
        <v>0.02</v>
      </c>
      <c r="G117" s="1">
        <f t="shared" si="10"/>
        <v>85.24159</v>
      </c>
    </row>
    <row r="118" spans="2:7" ht="17.25">
      <c r="B118" s="1">
        <f t="shared" si="13"/>
        <v>4516.403</v>
      </c>
      <c r="C118" s="1">
        <f t="shared" si="13"/>
        <v>0</v>
      </c>
      <c r="E118" s="1">
        <f t="shared" si="9"/>
        <v>4408.314</v>
      </c>
      <c r="F118" s="1">
        <f t="shared" si="12"/>
        <v>0.02</v>
      </c>
      <c r="G118" s="1">
        <f t="shared" si="10"/>
        <v>88.16628000000001</v>
      </c>
    </row>
    <row r="120" spans="6:8" ht="17.25">
      <c r="F120" s="1">
        <f>SUM(F69:F119)</f>
        <v>1.0000000000000004</v>
      </c>
      <c r="G120" s="1">
        <f>SUM(G69:G119)</f>
        <v>2355.3440099999993</v>
      </c>
      <c r="H120" s="1" t="s">
        <v>111</v>
      </c>
    </row>
  </sheetData>
  <printOptions/>
  <pageMargins left="0.75" right="0.75" top="1" bottom="1" header="0.5" footer="0.5"/>
  <pageSetup horizontalDpi="600" verticalDpi="600" orientation="portrait" paperSize="9" r:id="rId10"/>
  <drawing r:id="rId9"/>
  <legacyDrawing r:id="rId8"/>
  <oleObjects>
    <oleObject progId="Equation.3" shapeId="925160" r:id="rId1"/>
    <oleObject progId="Equation.3" shapeId="930299" r:id="rId2"/>
    <oleObject progId="Equation.3" shapeId="932774" r:id="rId3"/>
    <oleObject progId="Equation.3" shapeId="941462" r:id="rId4"/>
    <oleObject progId="Equation.3" shapeId="944925" r:id="rId5"/>
    <oleObject progId="Equation.3" shapeId="953469" r:id="rId6"/>
    <oleObject progId="Equation.3" shapeId="956860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E31"/>
  <sheetViews>
    <sheetView workbookViewId="0" topLeftCell="A1">
      <selection activeCell="D18" sqref="D18"/>
    </sheetView>
  </sheetViews>
  <sheetFormatPr defaultColWidth="9.140625" defaultRowHeight="12.75"/>
  <cols>
    <col min="1" max="2" width="9.140625" style="1" customWidth="1"/>
    <col min="3" max="3" width="14.7109375" style="1" customWidth="1"/>
    <col min="4" max="16384" width="9.140625" style="1" customWidth="1"/>
  </cols>
  <sheetData>
    <row r="2" ht="17.25">
      <c r="B2" s="1" t="s">
        <v>84</v>
      </c>
    </row>
    <row r="5" spans="2:5" ht="18">
      <c r="B5" s="2" t="s">
        <v>0</v>
      </c>
      <c r="C5" s="3"/>
      <c r="D5"/>
      <c r="E5"/>
    </row>
    <row r="6" spans="2:5" ht="17.25">
      <c r="B6" s="1" t="s">
        <v>1</v>
      </c>
      <c r="C6" s="4">
        <v>5.14E-05</v>
      </c>
      <c r="E6" s="1" t="s">
        <v>2</v>
      </c>
    </row>
    <row r="7" spans="2:5" ht="19.5">
      <c r="B7" s="1" t="s">
        <v>46</v>
      </c>
      <c r="C7" s="5">
        <v>0.211</v>
      </c>
      <c r="D7" s="1" t="s">
        <v>3</v>
      </c>
      <c r="E7" s="1" t="s">
        <v>8</v>
      </c>
    </row>
    <row r="8" spans="2:5" ht="19.5">
      <c r="B8" s="1" t="s">
        <v>47</v>
      </c>
      <c r="C8" s="5">
        <v>0.425</v>
      </c>
      <c r="D8" s="1" t="s">
        <v>3</v>
      </c>
      <c r="E8" s="1" t="s">
        <v>9</v>
      </c>
    </row>
    <row r="9" spans="2:5" ht="19.5">
      <c r="B9" s="1" t="s">
        <v>7</v>
      </c>
      <c r="C9" s="5">
        <v>3</v>
      </c>
      <c r="D9"/>
      <c r="E9" s="1" t="s">
        <v>10</v>
      </c>
    </row>
    <row r="10" spans="2:5" ht="17.25">
      <c r="B10" s="6" t="s">
        <v>5</v>
      </c>
      <c r="C10" s="5">
        <v>1.65</v>
      </c>
      <c r="E10" s="1" t="s">
        <v>6</v>
      </c>
    </row>
    <row r="11" spans="2:5" ht="19.5">
      <c r="B11" s="10" t="s">
        <v>27</v>
      </c>
      <c r="C11" s="4">
        <v>1E-06</v>
      </c>
      <c r="D11" s="1" t="s">
        <v>29</v>
      </c>
      <c r="E11" s="1" t="s">
        <v>28</v>
      </c>
    </row>
    <row r="14" ht="18">
      <c r="B14" s="2" t="s">
        <v>11</v>
      </c>
    </row>
    <row r="15" ht="19.5">
      <c r="B15" s="1" t="s">
        <v>12</v>
      </c>
    </row>
    <row r="16" ht="17.25">
      <c r="B16" s="5">
        <v>0.6</v>
      </c>
    </row>
    <row r="17" ht="17.25">
      <c r="B17" s="5">
        <f>B16+0.1</f>
        <v>0.7</v>
      </c>
    </row>
    <row r="18" ht="17.25">
      <c r="B18" s="5">
        <f aca="true" t="shared" si="0" ref="B18:B30">B17+0.1</f>
        <v>0.7999999999999999</v>
      </c>
    </row>
    <row r="19" ht="17.25">
      <c r="B19" s="5">
        <f t="shared" si="0"/>
        <v>0.8999999999999999</v>
      </c>
    </row>
    <row r="20" ht="17.25">
      <c r="B20" s="5">
        <f t="shared" si="0"/>
        <v>0.9999999999999999</v>
      </c>
    </row>
    <row r="21" ht="17.25">
      <c r="B21" s="5">
        <f t="shared" si="0"/>
        <v>1.0999999999999999</v>
      </c>
    </row>
    <row r="22" ht="17.25">
      <c r="B22" s="5">
        <f t="shared" si="0"/>
        <v>1.2</v>
      </c>
    </row>
    <row r="23" ht="17.25">
      <c r="B23" s="5">
        <f t="shared" si="0"/>
        <v>1.3</v>
      </c>
    </row>
    <row r="24" ht="17.25">
      <c r="B24" s="5">
        <f t="shared" si="0"/>
        <v>1.4000000000000001</v>
      </c>
    </row>
    <row r="25" ht="17.25">
      <c r="B25" s="5">
        <f t="shared" si="0"/>
        <v>1.5000000000000002</v>
      </c>
    </row>
    <row r="26" ht="17.25">
      <c r="B26" s="5">
        <f t="shared" si="0"/>
        <v>1.6000000000000003</v>
      </c>
    </row>
    <row r="27" ht="17.25">
      <c r="B27" s="5">
        <f t="shared" si="0"/>
        <v>1.7000000000000004</v>
      </c>
    </row>
    <row r="28" ht="17.25">
      <c r="B28" s="5">
        <f t="shared" si="0"/>
        <v>1.8000000000000005</v>
      </c>
    </row>
    <row r="29" ht="17.25">
      <c r="B29" s="5">
        <f t="shared" si="0"/>
        <v>1.9000000000000006</v>
      </c>
    </row>
    <row r="30" ht="17.25">
      <c r="B30" s="5">
        <f t="shared" si="0"/>
        <v>2.0000000000000004</v>
      </c>
    </row>
    <row r="31" ht="17.25">
      <c r="B31" s="5">
        <v>2.064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SAFL-NCED-UMN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gparker</cp:lastModifiedBy>
  <dcterms:created xsi:type="dcterms:W3CDTF">2003-10-22T23:18:34Z</dcterms:created>
  <dcterms:modified xsi:type="dcterms:W3CDTF">2004-11-16T02:05:48Z</dcterms:modified>
  <cp:category/>
  <cp:version/>
  <cp:contentType/>
  <cp:contentStatus/>
</cp:coreProperties>
</file>